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havikset\tilastot\"/>
    </mc:Choice>
  </mc:AlternateContent>
  <xr:revisionPtr revIDLastSave="0" documentId="13_ncr:1_{57A3143A-0205-4B00-9E8C-C95DD79E92BB}" xr6:coauthVersionLast="47" xr6:coauthVersionMax="47" xr10:uidLastSave="{00000000-0000-0000-0000-000000000000}"/>
  <bookViews>
    <workbookView xWindow="-27885" yWindow="0" windowWidth="24135" windowHeight="16680" tabRatio="500" xr2:uid="{00000000-000D-0000-FFFF-FFFF00000000}"/>
  </bookViews>
  <sheets>
    <sheet name="PPLYn ensihavainnot" sheetId="1" r:id="rId1"/>
    <sheet name="vuosi" sheetId="2" r:id="rId2"/>
    <sheet name="graafi" sheetId="3" r:id="rId3"/>
    <sheet name="PPLYn ensihavainnot 2000-2021" sheetId="5" r:id="rId4"/>
  </sheets>
  <definedNames>
    <definedName name="talvi" localSheetId="3">'PPLYn ensihavainnot 2000-2021'!$AH$2</definedName>
    <definedName name="talvi">'PPLYn ensihavainnot'!$AH$2</definedName>
  </definedNames>
  <calcPr calcId="191029"/>
</workbook>
</file>

<file path=xl/calcChain.xml><?xml version="1.0" encoding="utf-8"?>
<calcChain xmlns="http://schemas.openxmlformats.org/spreadsheetml/2006/main">
  <c r="T43" i="1" l="1"/>
  <c r="U43" i="1"/>
  <c r="AB6" i="1"/>
  <c r="AC388" i="1"/>
  <c r="AC370" i="1"/>
  <c r="AC369" i="1"/>
  <c r="AC368" i="1"/>
  <c r="AC364" i="1"/>
  <c r="AC363" i="1"/>
  <c r="AC359" i="1"/>
  <c r="AC356" i="1"/>
  <c r="AC350" i="1"/>
  <c r="AC315" i="1"/>
  <c r="AC268" i="1"/>
  <c r="AC206" i="1"/>
  <c r="AC197" i="1"/>
  <c r="AC192" i="1"/>
  <c r="AC165" i="1"/>
  <c r="AC103" i="1"/>
  <c r="AC67" i="1"/>
  <c r="AC46" i="1"/>
  <c r="AC43" i="1"/>
  <c r="AC42" i="1"/>
  <c r="AC40" i="1"/>
  <c r="AC39" i="1"/>
  <c r="AC24" i="1"/>
  <c r="AC21" i="1"/>
  <c r="AC6" i="1" l="1"/>
  <c r="AC3" i="1" s="1"/>
  <c r="AG391" i="5"/>
  <c r="AF391" i="5"/>
  <c r="AE391" i="5"/>
  <c r="AG390" i="5"/>
  <c r="AO390" i="5" s="1"/>
  <c r="AQ390" i="5" s="1"/>
  <c r="AF390" i="5"/>
  <c r="AE390" i="5"/>
  <c r="AG389" i="5"/>
  <c r="AF389" i="5"/>
  <c r="AE389" i="5"/>
  <c r="AG388" i="5"/>
  <c r="AF388" i="5"/>
  <c r="AE388" i="5"/>
  <c r="AG387" i="5"/>
  <c r="AF387" i="5"/>
  <c r="AE387" i="5"/>
  <c r="AG386" i="5"/>
  <c r="AF386" i="5"/>
  <c r="AE386" i="5"/>
  <c r="AG385" i="5"/>
  <c r="AF385" i="5"/>
  <c r="AO385" i="5" s="1"/>
  <c r="AQ385" i="5" s="1"/>
  <c r="AE385" i="5"/>
  <c r="AG384" i="5"/>
  <c r="AF384" i="5"/>
  <c r="AE384" i="5"/>
  <c r="AN384" i="5" s="1"/>
  <c r="AG383" i="5"/>
  <c r="AF383" i="5"/>
  <c r="AE383" i="5"/>
  <c r="AG382" i="5"/>
  <c r="AO382" i="5" s="1"/>
  <c r="AQ382" i="5" s="1"/>
  <c r="AF382" i="5"/>
  <c r="AE382" i="5"/>
  <c r="AG381" i="5"/>
  <c r="AF381" i="5"/>
  <c r="AE381" i="5"/>
  <c r="AG380" i="5"/>
  <c r="AF380" i="5"/>
  <c r="AE380" i="5"/>
  <c r="AG379" i="5"/>
  <c r="AF379" i="5"/>
  <c r="AE379" i="5"/>
  <c r="AG378" i="5"/>
  <c r="AF378" i="5"/>
  <c r="AE378" i="5"/>
  <c r="AG377" i="5"/>
  <c r="AF377" i="5"/>
  <c r="AO377" i="5" s="1"/>
  <c r="AQ377" i="5" s="1"/>
  <c r="AE377" i="5"/>
  <c r="AG376" i="5"/>
  <c r="AF376" i="5"/>
  <c r="AE376" i="5"/>
  <c r="AG375" i="5"/>
  <c r="AF375" i="5"/>
  <c r="AE375" i="5"/>
  <c r="AG374" i="5"/>
  <c r="AO374" i="5" s="1"/>
  <c r="AQ374" i="5" s="1"/>
  <c r="AF374" i="5"/>
  <c r="AE374" i="5"/>
  <c r="AG373" i="5"/>
  <c r="AF373" i="5"/>
  <c r="AO373" i="5" s="1"/>
  <c r="AQ373" i="5" s="1"/>
  <c r="AE373" i="5"/>
  <c r="AG372" i="5"/>
  <c r="AF372" i="5"/>
  <c r="AE372" i="5"/>
  <c r="AN372" i="5" s="1"/>
  <c r="AG371" i="5"/>
  <c r="AF371" i="5"/>
  <c r="AE371" i="5"/>
  <c r="AG370" i="5"/>
  <c r="AN370" i="5" s="1"/>
  <c r="AF370" i="5"/>
  <c r="AE370" i="5"/>
  <c r="AG369" i="5"/>
  <c r="AF369" i="5"/>
  <c r="AE369" i="5"/>
  <c r="AG368" i="5"/>
  <c r="AF368" i="5"/>
  <c r="AE368" i="5"/>
  <c r="AG367" i="5"/>
  <c r="AF367" i="5"/>
  <c r="AE367" i="5"/>
  <c r="AG366" i="5"/>
  <c r="AF366" i="5"/>
  <c r="AE366" i="5"/>
  <c r="AG365" i="5"/>
  <c r="AF365" i="5"/>
  <c r="AO365" i="5" s="1"/>
  <c r="AQ365" i="5" s="1"/>
  <c r="AE365" i="5"/>
  <c r="AG364" i="5"/>
  <c r="AF364" i="5"/>
  <c r="AE364" i="5"/>
  <c r="AG363" i="5"/>
  <c r="AF363" i="5"/>
  <c r="AE363" i="5"/>
  <c r="AG362" i="5"/>
  <c r="AF362" i="5"/>
  <c r="AE362" i="5"/>
  <c r="AG361" i="5"/>
  <c r="AF361" i="5"/>
  <c r="AO361" i="5" s="1"/>
  <c r="AQ361" i="5" s="1"/>
  <c r="AE361" i="5"/>
  <c r="AG360" i="5"/>
  <c r="AF360" i="5"/>
  <c r="AE360" i="5"/>
  <c r="AN360" i="5" s="1"/>
  <c r="AG359" i="5"/>
  <c r="AF359" i="5"/>
  <c r="AE359" i="5"/>
  <c r="AG358" i="5"/>
  <c r="AF358" i="5"/>
  <c r="AE358" i="5"/>
  <c r="AG357" i="5"/>
  <c r="AF357" i="5"/>
  <c r="AO357" i="5" s="1"/>
  <c r="AQ357" i="5" s="1"/>
  <c r="AE357" i="5"/>
  <c r="AG356" i="5"/>
  <c r="AF356" i="5"/>
  <c r="AE356" i="5"/>
  <c r="AG355" i="5"/>
  <c r="AF355" i="5"/>
  <c r="AE355" i="5"/>
  <c r="AG354" i="5"/>
  <c r="AF354" i="5"/>
  <c r="AE354" i="5"/>
  <c r="AG353" i="5"/>
  <c r="AF353" i="5"/>
  <c r="AE353" i="5"/>
  <c r="AG352" i="5"/>
  <c r="AF352" i="5"/>
  <c r="AE352" i="5"/>
  <c r="AG351" i="5"/>
  <c r="AF351" i="5"/>
  <c r="AE351" i="5"/>
  <c r="AG350" i="5"/>
  <c r="AF350" i="5"/>
  <c r="AE350" i="5"/>
  <c r="AG349" i="5"/>
  <c r="AF349" i="5"/>
  <c r="AE349" i="5"/>
  <c r="AG348" i="5"/>
  <c r="AF348" i="5"/>
  <c r="AE348" i="5"/>
  <c r="AN348" i="5" s="1"/>
  <c r="AG347" i="5"/>
  <c r="AF347" i="5"/>
  <c r="AE347" i="5"/>
  <c r="AG346" i="5"/>
  <c r="AN346" i="5" s="1"/>
  <c r="AF346" i="5"/>
  <c r="AE346" i="5"/>
  <c r="AG345" i="5"/>
  <c r="AF345" i="5"/>
  <c r="AO345" i="5" s="1"/>
  <c r="AQ345" i="5" s="1"/>
  <c r="AE345" i="5"/>
  <c r="AG344" i="5"/>
  <c r="AF344" i="5"/>
  <c r="AE344" i="5"/>
  <c r="AG343" i="5"/>
  <c r="AF343" i="5"/>
  <c r="AE343" i="5"/>
  <c r="AG342" i="5"/>
  <c r="AF342" i="5"/>
  <c r="AE342" i="5"/>
  <c r="AG341" i="5"/>
  <c r="AF341" i="5"/>
  <c r="AE341" i="5"/>
  <c r="AG340" i="5"/>
  <c r="AF340" i="5"/>
  <c r="AE340" i="5"/>
  <c r="AG339" i="5"/>
  <c r="AF339" i="5"/>
  <c r="AE339" i="5"/>
  <c r="AG338" i="5"/>
  <c r="AF338" i="5"/>
  <c r="AE338" i="5"/>
  <c r="AG337" i="5"/>
  <c r="AF337" i="5"/>
  <c r="AO337" i="5" s="1"/>
  <c r="AQ337" i="5" s="1"/>
  <c r="AE337" i="5"/>
  <c r="AG336" i="5"/>
  <c r="AF336" i="5"/>
  <c r="AE336" i="5"/>
  <c r="AG335" i="5"/>
  <c r="AF335" i="5"/>
  <c r="AE335" i="5"/>
  <c r="AG334" i="5"/>
  <c r="AN334" i="5" s="1"/>
  <c r="AF334" i="5"/>
  <c r="AE334" i="5"/>
  <c r="AG333" i="5"/>
  <c r="AF333" i="5"/>
  <c r="AO333" i="5" s="1"/>
  <c r="AQ333" i="5" s="1"/>
  <c r="AE333" i="5"/>
  <c r="AG332" i="5"/>
  <c r="AF332" i="5"/>
  <c r="AE332" i="5"/>
  <c r="AO332" i="5" s="1"/>
  <c r="AQ332" i="5" s="1"/>
  <c r="AG331" i="5"/>
  <c r="AF331" i="5"/>
  <c r="AE331" i="5"/>
  <c r="AG330" i="5"/>
  <c r="AN330" i="5" s="1"/>
  <c r="AF330" i="5"/>
  <c r="AE330" i="5"/>
  <c r="AG329" i="5"/>
  <c r="AF329" i="5"/>
  <c r="AO329" i="5" s="1"/>
  <c r="AQ329" i="5" s="1"/>
  <c r="AE329" i="5"/>
  <c r="AG328" i="5"/>
  <c r="AF328" i="5"/>
  <c r="AE328" i="5"/>
  <c r="AO328" i="5" s="1"/>
  <c r="AQ328" i="5" s="1"/>
  <c r="AG327" i="5"/>
  <c r="AF327" i="5"/>
  <c r="AE327" i="5"/>
  <c r="AG326" i="5"/>
  <c r="AO326" i="5" s="1"/>
  <c r="AQ326" i="5" s="1"/>
  <c r="AF326" i="5"/>
  <c r="AE326" i="5"/>
  <c r="AG325" i="5"/>
  <c r="AF325" i="5"/>
  <c r="AO325" i="5" s="1"/>
  <c r="AQ325" i="5" s="1"/>
  <c r="AE325" i="5"/>
  <c r="AG324" i="5"/>
  <c r="AF324" i="5"/>
  <c r="AE324" i="5"/>
  <c r="AO324" i="5" s="1"/>
  <c r="AQ324" i="5" s="1"/>
  <c r="AG323" i="5"/>
  <c r="AF323" i="5"/>
  <c r="AE323" i="5"/>
  <c r="AG322" i="5"/>
  <c r="AF322" i="5"/>
  <c r="AE322" i="5"/>
  <c r="AG321" i="5"/>
  <c r="AF321" i="5"/>
  <c r="AO321" i="5" s="1"/>
  <c r="AQ321" i="5" s="1"/>
  <c r="AE321" i="5"/>
  <c r="AG320" i="5"/>
  <c r="AF320" i="5"/>
  <c r="AE320" i="5"/>
  <c r="AO320" i="5" s="1"/>
  <c r="AQ320" i="5" s="1"/>
  <c r="AG319" i="5"/>
  <c r="AF319" i="5"/>
  <c r="AE319" i="5"/>
  <c r="AG318" i="5"/>
  <c r="AF318" i="5"/>
  <c r="AE318" i="5"/>
  <c r="AG317" i="5"/>
  <c r="AF317" i="5"/>
  <c r="AE317" i="5"/>
  <c r="AG316" i="5"/>
  <c r="AF316" i="5"/>
  <c r="AE316" i="5"/>
  <c r="AG315" i="5"/>
  <c r="AF315" i="5"/>
  <c r="AE315" i="5"/>
  <c r="AG314" i="5"/>
  <c r="AF314" i="5"/>
  <c r="AE314" i="5"/>
  <c r="AG313" i="5"/>
  <c r="AF313" i="5"/>
  <c r="AO313" i="5" s="1"/>
  <c r="AQ313" i="5" s="1"/>
  <c r="AE313" i="5"/>
  <c r="AG312" i="5"/>
  <c r="AF312" i="5"/>
  <c r="AE312" i="5"/>
  <c r="AG311" i="5"/>
  <c r="AF311" i="5"/>
  <c r="AE311" i="5"/>
  <c r="AG310" i="5"/>
  <c r="AF310" i="5"/>
  <c r="AE310" i="5"/>
  <c r="AG309" i="5"/>
  <c r="AF309" i="5"/>
  <c r="AO309" i="5" s="1"/>
  <c r="AQ309" i="5" s="1"/>
  <c r="AE309" i="5"/>
  <c r="AG308" i="5"/>
  <c r="AF308" i="5"/>
  <c r="AE308" i="5"/>
  <c r="AG307" i="5"/>
  <c r="AF307" i="5"/>
  <c r="AE307" i="5"/>
  <c r="AG306" i="5"/>
  <c r="AF306" i="5"/>
  <c r="AE306" i="5"/>
  <c r="AG305" i="5"/>
  <c r="AF305" i="5"/>
  <c r="AE305" i="5"/>
  <c r="AG304" i="5"/>
  <c r="AF304" i="5"/>
  <c r="AE304" i="5"/>
  <c r="AG303" i="5"/>
  <c r="AF303" i="5"/>
  <c r="AE303" i="5"/>
  <c r="AG302" i="5"/>
  <c r="AF302" i="5"/>
  <c r="AE302" i="5"/>
  <c r="AG301" i="5"/>
  <c r="AF301" i="5"/>
  <c r="AO301" i="5" s="1"/>
  <c r="AQ301" i="5" s="1"/>
  <c r="AE301" i="5"/>
  <c r="AG300" i="5"/>
  <c r="AF300" i="5"/>
  <c r="AE300" i="5"/>
  <c r="AG299" i="5"/>
  <c r="AF299" i="5"/>
  <c r="AE299" i="5"/>
  <c r="AG298" i="5"/>
  <c r="AF298" i="5"/>
  <c r="AE298" i="5"/>
  <c r="AG297" i="5"/>
  <c r="AF297" i="5"/>
  <c r="AO297" i="5" s="1"/>
  <c r="AQ297" i="5" s="1"/>
  <c r="AE297" i="5"/>
  <c r="AG296" i="5"/>
  <c r="AF296" i="5"/>
  <c r="AE296" i="5"/>
  <c r="AG295" i="5"/>
  <c r="AF295" i="5"/>
  <c r="AE295" i="5"/>
  <c r="AG294" i="5"/>
  <c r="AF294" i="5"/>
  <c r="AE294" i="5"/>
  <c r="AG293" i="5"/>
  <c r="AF293" i="5"/>
  <c r="AE293" i="5"/>
  <c r="AG292" i="5"/>
  <c r="AF292" i="5"/>
  <c r="AE292" i="5"/>
  <c r="AG291" i="5"/>
  <c r="AF291" i="5"/>
  <c r="AE291" i="5"/>
  <c r="AG290" i="5"/>
  <c r="AF290" i="5"/>
  <c r="AE290" i="5"/>
  <c r="AG289" i="5"/>
  <c r="AF289" i="5"/>
  <c r="AO289" i="5" s="1"/>
  <c r="AQ289" i="5" s="1"/>
  <c r="AE289" i="5"/>
  <c r="AG288" i="5"/>
  <c r="AF288" i="5"/>
  <c r="AE288" i="5"/>
  <c r="AG287" i="5"/>
  <c r="AF287" i="5"/>
  <c r="AE287" i="5"/>
  <c r="AG286" i="5"/>
  <c r="AF286" i="5"/>
  <c r="AE286" i="5"/>
  <c r="AG285" i="5"/>
  <c r="AF285" i="5"/>
  <c r="AE285" i="5"/>
  <c r="AG284" i="5"/>
  <c r="AF284" i="5"/>
  <c r="AE284" i="5"/>
  <c r="AN284" i="5" s="1"/>
  <c r="AG283" i="5"/>
  <c r="AF283" i="5"/>
  <c r="AE283" i="5"/>
  <c r="AG282" i="5"/>
  <c r="AF282" i="5"/>
  <c r="AE282" i="5"/>
  <c r="AG281" i="5"/>
  <c r="AF281" i="5"/>
  <c r="AO281" i="5" s="1"/>
  <c r="AQ281" i="5" s="1"/>
  <c r="AE281" i="5"/>
  <c r="AG280" i="5"/>
  <c r="AF280" i="5"/>
  <c r="AE280" i="5"/>
  <c r="AG279" i="5"/>
  <c r="AF279" i="5"/>
  <c r="AE279" i="5"/>
  <c r="AG278" i="5"/>
  <c r="AO278" i="5" s="1"/>
  <c r="AQ278" i="5" s="1"/>
  <c r="AF278" i="5"/>
  <c r="AE278" i="5"/>
  <c r="AG277" i="5"/>
  <c r="AF277" i="5"/>
  <c r="AO277" i="5" s="1"/>
  <c r="AQ277" i="5" s="1"/>
  <c r="AE277" i="5"/>
  <c r="AG276" i="5"/>
  <c r="AF276" i="5"/>
  <c r="AE276" i="5"/>
  <c r="AO276" i="5" s="1"/>
  <c r="AQ276" i="5" s="1"/>
  <c r="AG275" i="5"/>
  <c r="AF275" i="5"/>
  <c r="AE275" i="5"/>
  <c r="AG274" i="5"/>
  <c r="AO274" i="5" s="1"/>
  <c r="AQ274" i="5" s="1"/>
  <c r="AF274" i="5"/>
  <c r="AE274" i="5"/>
  <c r="AG273" i="5"/>
  <c r="AF273" i="5"/>
  <c r="AO273" i="5" s="1"/>
  <c r="AQ273" i="5" s="1"/>
  <c r="AE273" i="5"/>
  <c r="AG272" i="5"/>
  <c r="AF272" i="5"/>
  <c r="AE272" i="5"/>
  <c r="AN272" i="5" s="1"/>
  <c r="AG271" i="5"/>
  <c r="AF271" i="5"/>
  <c r="AE271" i="5"/>
  <c r="AG270" i="5"/>
  <c r="AO270" i="5" s="1"/>
  <c r="AQ270" i="5" s="1"/>
  <c r="AF270" i="5"/>
  <c r="AE270" i="5"/>
  <c r="AG269" i="5"/>
  <c r="AF269" i="5"/>
  <c r="AO269" i="5" s="1"/>
  <c r="AQ269" i="5" s="1"/>
  <c r="AE269" i="5"/>
  <c r="AG268" i="5"/>
  <c r="AF268" i="5"/>
  <c r="AE268" i="5"/>
  <c r="AG267" i="5"/>
  <c r="AF267" i="5"/>
  <c r="AE267" i="5"/>
  <c r="AG266" i="5"/>
  <c r="AO266" i="5" s="1"/>
  <c r="AQ266" i="5" s="1"/>
  <c r="AF266" i="5"/>
  <c r="AE266" i="5"/>
  <c r="AG265" i="5"/>
  <c r="AF265" i="5"/>
  <c r="AE265" i="5"/>
  <c r="AG264" i="5"/>
  <c r="AF264" i="5"/>
  <c r="AE264" i="5"/>
  <c r="AG263" i="5"/>
  <c r="AF263" i="5"/>
  <c r="AE263" i="5"/>
  <c r="AG262" i="5"/>
  <c r="AO262" i="5" s="1"/>
  <c r="AQ262" i="5" s="1"/>
  <c r="AF262" i="5"/>
  <c r="AE262" i="5"/>
  <c r="AG261" i="5"/>
  <c r="AF261" i="5"/>
  <c r="AE261" i="5"/>
  <c r="AG260" i="5"/>
  <c r="AF260" i="5"/>
  <c r="AE260" i="5"/>
  <c r="AO260" i="5" s="1"/>
  <c r="AQ260" i="5" s="1"/>
  <c r="AG259" i="5"/>
  <c r="AF259" i="5"/>
  <c r="AE259" i="5"/>
  <c r="AG258" i="5"/>
  <c r="AO258" i="5" s="1"/>
  <c r="AQ258" i="5" s="1"/>
  <c r="AF258" i="5"/>
  <c r="AE258" i="5"/>
  <c r="AG257" i="5"/>
  <c r="AF257" i="5"/>
  <c r="AE257" i="5"/>
  <c r="AG256" i="5"/>
  <c r="AF256" i="5"/>
  <c r="AE256" i="5"/>
  <c r="AO256" i="5" s="1"/>
  <c r="AQ256" i="5" s="1"/>
  <c r="AG255" i="5"/>
  <c r="AF255" i="5"/>
  <c r="AE255" i="5"/>
  <c r="AG254" i="5"/>
  <c r="AF254" i="5"/>
  <c r="AE254" i="5"/>
  <c r="AG253" i="5"/>
  <c r="AF253" i="5"/>
  <c r="AE253" i="5"/>
  <c r="AG252" i="5"/>
  <c r="AF252" i="5"/>
  <c r="AE252" i="5"/>
  <c r="AG251" i="5"/>
  <c r="AF251" i="5"/>
  <c r="AE251" i="5"/>
  <c r="AG250" i="5"/>
  <c r="AN250" i="5" s="1"/>
  <c r="AF250" i="5"/>
  <c r="AE250" i="5"/>
  <c r="AG249" i="5"/>
  <c r="AF249" i="5"/>
  <c r="AE249" i="5"/>
  <c r="AG248" i="5"/>
  <c r="AF248" i="5"/>
  <c r="AE248" i="5"/>
  <c r="AO248" i="5" s="1"/>
  <c r="AQ248" i="5" s="1"/>
  <c r="AG247" i="5"/>
  <c r="AF247" i="5"/>
  <c r="AE247" i="5"/>
  <c r="AG246" i="5"/>
  <c r="AF246" i="5"/>
  <c r="AE246" i="5"/>
  <c r="AG245" i="5"/>
  <c r="AF245" i="5"/>
  <c r="AE245" i="5"/>
  <c r="AG244" i="5"/>
  <c r="AF244" i="5"/>
  <c r="AE244" i="5"/>
  <c r="AG243" i="5"/>
  <c r="AF243" i="5"/>
  <c r="AE243" i="5"/>
  <c r="AG242" i="5"/>
  <c r="AF242" i="5"/>
  <c r="AE242" i="5"/>
  <c r="AG241" i="5"/>
  <c r="AF241" i="5"/>
  <c r="AE241" i="5"/>
  <c r="AG240" i="5"/>
  <c r="AF240" i="5"/>
  <c r="AE240" i="5"/>
  <c r="AO240" i="5" s="1"/>
  <c r="AQ240" i="5" s="1"/>
  <c r="AG239" i="5"/>
  <c r="AF239" i="5"/>
  <c r="AE239" i="5"/>
  <c r="AG238" i="5"/>
  <c r="AF238" i="5"/>
  <c r="AE238" i="5"/>
  <c r="AG237" i="5"/>
  <c r="AF237" i="5"/>
  <c r="AE237" i="5"/>
  <c r="AG236" i="5"/>
  <c r="AF236" i="5"/>
  <c r="AE236" i="5"/>
  <c r="AO236" i="5" s="1"/>
  <c r="AQ236" i="5" s="1"/>
  <c r="AG235" i="5"/>
  <c r="AF235" i="5"/>
  <c r="AE235" i="5"/>
  <c r="AG234" i="5"/>
  <c r="AN234" i="5" s="1"/>
  <c r="AF234" i="5"/>
  <c r="AE234" i="5"/>
  <c r="AG233" i="5"/>
  <c r="AF233" i="5"/>
  <c r="AO233" i="5" s="1"/>
  <c r="AQ233" i="5" s="1"/>
  <c r="AE233" i="5"/>
  <c r="AG232" i="5"/>
  <c r="AF232" i="5"/>
  <c r="AE232" i="5"/>
  <c r="AO232" i="5" s="1"/>
  <c r="AQ232" i="5" s="1"/>
  <c r="AG231" i="5"/>
  <c r="AF231" i="5"/>
  <c r="AE231" i="5"/>
  <c r="AG230" i="5"/>
  <c r="AN230" i="5" s="1"/>
  <c r="AF230" i="5"/>
  <c r="AE230" i="5"/>
  <c r="AG229" i="5"/>
  <c r="AF229" i="5"/>
  <c r="AO229" i="5" s="1"/>
  <c r="AQ229" i="5" s="1"/>
  <c r="AE229" i="5"/>
  <c r="AG228" i="5"/>
  <c r="AF228" i="5"/>
  <c r="AE228" i="5"/>
  <c r="AO228" i="5" s="1"/>
  <c r="AQ228" i="5" s="1"/>
  <c r="AG227" i="5"/>
  <c r="AF227" i="5"/>
  <c r="AE227" i="5"/>
  <c r="AG226" i="5"/>
  <c r="AN226" i="5" s="1"/>
  <c r="AF226" i="5"/>
  <c r="AE226" i="5"/>
  <c r="AG225" i="5"/>
  <c r="AF225" i="5"/>
  <c r="AO225" i="5" s="1"/>
  <c r="AQ225" i="5" s="1"/>
  <c r="AE225" i="5"/>
  <c r="AG224" i="5"/>
  <c r="AF224" i="5"/>
  <c r="AE224" i="5"/>
  <c r="AO224" i="5" s="1"/>
  <c r="AQ224" i="5" s="1"/>
  <c r="AG223" i="5"/>
  <c r="AF223" i="5"/>
  <c r="AE223" i="5"/>
  <c r="AG222" i="5"/>
  <c r="AF222" i="5"/>
  <c r="AE222" i="5"/>
  <c r="AG221" i="5"/>
  <c r="AF221" i="5"/>
  <c r="AE221" i="5"/>
  <c r="AG220" i="5"/>
  <c r="AF220" i="5"/>
  <c r="AE220" i="5"/>
  <c r="AN220" i="5" s="1"/>
  <c r="AG219" i="5"/>
  <c r="AF219" i="5"/>
  <c r="AE219" i="5"/>
  <c r="AG218" i="5"/>
  <c r="AN218" i="5" s="1"/>
  <c r="AF218" i="5"/>
  <c r="AE218" i="5"/>
  <c r="AG217" i="5"/>
  <c r="AF217" i="5"/>
  <c r="AO217" i="5" s="1"/>
  <c r="AQ217" i="5" s="1"/>
  <c r="AE217" i="5"/>
  <c r="AG216" i="5"/>
  <c r="AF216" i="5"/>
  <c r="AE216" i="5"/>
  <c r="AN216" i="5" s="1"/>
  <c r="AG215" i="5"/>
  <c r="AF215" i="5"/>
  <c r="AE215" i="5"/>
  <c r="AG214" i="5"/>
  <c r="AN214" i="5" s="1"/>
  <c r="AF214" i="5"/>
  <c r="AE214" i="5"/>
  <c r="AG213" i="5"/>
  <c r="AF213" i="5"/>
  <c r="AE213" i="5"/>
  <c r="AG212" i="5"/>
  <c r="AF212" i="5"/>
  <c r="AE212" i="5"/>
  <c r="AG211" i="5"/>
  <c r="AF211" i="5"/>
  <c r="AE211" i="5"/>
  <c r="AG210" i="5"/>
  <c r="AF210" i="5"/>
  <c r="AE210" i="5"/>
  <c r="AG209" i="5"/>
  <c r="AF209" i="5"/>
  <c r="AO209" i="5" s="1"/>
  <c r="AQ209" i="5" s="1"/>
  <c r="AE209" i="5"/>
  <c r="AG208" i="5"/>
  <c r="AF208" i="5"/>
  <c r="AE208" i="5"/>
  <c r="AN208" i="5" s="1"/>
  <c r="AG207" i="5"/>
  <c r="AF207" i="5"/>
  <c r="AE207" i="5"/>
  <c r="AG206" i="5"/>
  <c r="AF206" i="5"/>
  <c r="AE206" i="5"/>
  <c r="AG205" i="5"/>
  <c r="AF205" i="5"/>
  <c r="AO205" i="5" s="1"/>
  <c r="AQ205" i="5" s="1"/>
  <c r="AE205" i="5"/>
  <c r="AG204" i="5"/>
  <c r="AF204" i="5"/>
  <c r="AE204" i="5"/>
  <c r="AG203" i="5"/>
  <c r="AF203" i="5"/>
  <c r="AE203" i="5"/>
  <c r="AG202" i="5"/>
  <c r="AN202" i="5" s="1"/>
  <c r="AF202" i="5"/>
  <c r="AE202" i="5"/>
  <c r="AG201" i="5"/>
  <c r="AF201" i="5"/>
  <c r="AO201" i="5" s="1"/>
  <c r="AQ201" i="5" s="1"/>
  <c r="AE201" i="5"/>
  <c r="AG200" i="5"/>
  <c r="AF200" i="5"/>
  <c r="AE200" i="5"/>
  <c r="AG199" i="5"/>
  <c r="AF199" i="5"/>
  <c r="AE199" i="5"/>
  <c r="AG198" i="5"/>
  <c r="AF198" i="5"/>
  <c r="AE198" i="5"/>
  <c r="AG197" i="5"/>
  <c r="AF197" i="5"/>
  <c r="AE197" i="5"/>
  <c r="AG196" i="5"/>
  <c r="AF196" i="5"/>
  <c r="AE196" i="5"/>
  <c r="AN196" i="5" s="1"/>
  <c r="AG195" i="5"/>
  <c r="AF195" i="5"/>
  <c r="AE195" i="5"/>
  <c r="AG194" i="5"/>
  <c r="AN194" i="5" s="1"/>
  <c r="AF194" i="5"/>
  <c r="AE194" i="5"/>
  <c r="AG193" i="5"/>
  <c r="AF193" i="5"/>
  <c r="AE193" i="5"/>
  <c r="AG192" i="5"/>
  <c r="AF192" i="5"/>
  <c r="AE192" i="5"/>
  <c r="AN192" i="5" s="1"/>
  <c r="AG191" i="5"/>
  <c r="AF191" i="5"/>
  <c r="AE191" i="5"/>
  <c r="AG190" i="5"/>
  <c r="AF190" i="5"/>
  <c r="AE190" i="5"/>
  <c r="AG189" i="5"/>
  <c r="AF189" i="5"/>
  <c r="AE189" i="5"/>
  <c r="AG188" i="5"/>
  <c r="AF188" i="5"/>
  <c r="AE188" i="5"/>
  <c r="AG187" i="5"/>
  <c r="AF187" i="5"/>
  <c r="AE187" i="5"/>
  <c r="AG186" i="5"/>
  <c r="AN186" i="5" s="1"/>
  <c r="AF186" i="5"/>
  <c r="AE186" i="5"/>
  <c r="AG185" i="5"/>
  <c r="AF185" i="5"/>
  <c r="AE185" i="5"/>
  <c r="AG184" i="5"/>
  <c r="AF184" i="5"/>
  <c r="AE184" i="5"/>
  <c r="AG183" i="5"/>
  <c r="AF183" i="5"/>
  <c r="AE183" i="5"/>
  <c r="AG182" i="5"/>
  <c r="AN182" i="5" s="1"/>
  <c r="AF182" i="5"/>
  <c r="AE182" i="5"/>
  <c r="AG181" i="5"/>
  <c r="AF181" i="5"/>
  <c r="AO181" i="5" s="1"/>
  <c r="AQ181" i="5" s="1"/>
  <c r="AE181" i="5"/>
  <c r="AG180" i="5"/>
  <c r="AF180" i="5"/>
  <c r="AE180" i="5"/>
  <c r="AN180" i="5" s="1"/>
  <c r="AG179" i="5"/>
  <c r="AF179" i="5"/>
  <c r="AE179" i="5"/>
  <c r="AG178" i="5"/>
  <c r="AN178" i="5" s="1"/>
  <c r="AF178" i="5"/>
  <c r="AE178" i="5"/>
  <c r="AG177" i="5"/>
  <c r="AF177" i="5"/>
  <c r="AO177" i="5" s="1"/>
  <c r="AQ177" i="5" s="1"/>
  <c r="AE177" i="5"/>
  <c r="AG176" i="5"/>
  <c r="AF176" i="5"/>
  <c r="AE176" i="5"/>
  <c r="AG175" i="5"/>
  <c r="AF175" i="5"/>
  <c r="AE175" i="5"/>
  <c r="AG174" i="5"/>
  <c r="AF174" i="5"/>
  <c r="AE174" i="5"/>
  <c r="AG173" i="5"/>
  <c r="AF173" i="5"/>
  <c r="AO173" i="5" s="1"/>
  <c r="AQ173" i="5" s="1"/>
  <c r="AE173" i="5"/>
  <c r="AG172" i="5"/>
  <c r="AF172" i="5"/>
  <c r="AE172" i="5"/>
  <c r="AN172" i="5" s="1"/>
  <c r="AG171" i="5"/>
  <c r="AF171" i="5"/>
  <c r="AE171" i="5"/>
  <c r="AG170" i="5"/>
  <c r="AF170" i="5"/>
  <c r="AE170" i="5"/>
  <c r="AG169" i="5"/>
  <c r="AF169" i="5"/>
  <c r="AO169" i="5" s="1"/>
  <c r="AQ169" i="5" s="1"/>
  <c r="AE169" i="5"/>
  <c r="AG168" i="5"/>
  <c r="AF168" i="5"/>
  <c r="AE168" i="5"/>
  <c r="AN168" i="5" s="1"/>
  <c r="AG167" i="5"/>
  <c r="AF167" i="5"/>
  <c r="AE167" i="5"/>
  <c r="AG166" i="5"/>
  <c r="AO166" i="5" s="1"/>
  <c r="AQ166" i="5" s="1"/>
  <c r="AF166" i="5"/>
  <c r="AE166" i="5"/>
  <c r="AG165" i="5"/>
  <c r="AF165" i="5"/>
  <c r="AE165" i="5"/>
  <c r="AG164" i="5"/>
  <c r="AF164" i="5"/>
  <c r="AE164" i="5"/>
  <c r="AO164" i="5" s="1"/>
  <c r="AQ164" i="5" s="1"/>
  <c r="AG163" i="5"/>
  <c r="AF163" i="5"/>
  <c r="AE163" i="5"/>
  <c r="AG162" i="5"/>
  <c r="AO162" i="5" s="1"/>
  <c r="AQ162" i="5" s="1"/>
  <c r="AF162" i="5"/>
  <c r="AE162" i="5"/>
  <c r="AG161" i="5"/>
  <c r="AF161" i="5"/>
  <c r="AO161" i="5" s="1"/>
  <c r="AQ161" i="5" s="1"/>
  <c r="AE161" i="5"/>
  <c r="AG160" i="5"/>
  <c r="AF160" i="5"/>
  <c r="AE160" i="5"/>
  <c r="AO160" i="5" s="1"/>
  <c r="AQ160" i="5" s="1"/>
  <c r="AG159" i="5"/>
  <c r="AF159" i="5"/>
  <c r="AE159" i="5"/>
  <c r="AG158" i="5"/>
  <c r="AF158" i="5"/>
  <c r="AE158" i="5"/>
  <c r="AG157" i="5"/>
  <c r="AF157" i="5"/>
  <c r="AO157" i="5" s="1"/>
  <c r="AQ157" i="5" s="1"/>
  <c r="AE157" i="5"/>
  <c r="AG156" i="5"/>
  <c r="AF156" i="5"/>
  <c r="AE156" i="5"/>
  <c r="AO156" i="5" s="1"/>
  <c r="AQ156" i="5" s="1"/>
  <c r="AG155" i="5"/>
  <c r="AF155" i="5"/>
  <c r="AE155" i="5"/>
  <c r="AG154" i="5"/>
  <c r="AN154" i="5" s="1"/>
  <c r="AF154" i="5"/>
  <c r="AE154" i="5"/>
  <c r="AG153" i="5"/>
  <c r="AF153" i="5"/>
  <c r="AO153" i="5" s="1"/>
  <c r="AQ153" i="5" s="1"/>
  <c r="AE153" i="5"/>
  <c r="AG152" i="5"/>
  <c r="AF152" i="5"/>
  <c r="AE152" i="5"/>
  <c r="AG151" i="5"/>
  <c r="AF151" i="5"/>
  <c r="AE151" i="5"/>
  <c r="AG150" i="5"/>
  <c r="AF150" i="5"/>
  <c r="AE150" i="5"/>
  <c r="AG149" i="5"/>
  <c r="AF149" i="5"/>
  <c r="AO149" i="5" s="1"/>
  <c r="AQ149" i="5" s="1"/>
  <c r="AE149" i="5"/>
  <c r="AG148" i="5"/>
  <c r="AF148" i="5"/>
  <c r="AE148" i="5"/>
  <c r="AO148" i="5" s="1"/>
  <c r="AQ148" i="5" s="1"/>
  <c r="AG147" i="5"/>
  <c r="AF147" i="5"/>
  <c r="AE147" i="5"/>
  <c r="AG146" i="5"/>
  <c r="AN146" i="5" s="1"/>
  <c r="AF146" i="5"/>
  <c r="AE146" i="5"/>
  <c r="AG145" i="5"/>
  <c r="AF145" i="5"/>
  <c r="AE145" i="5"/>
  <c r="AG144" i="5"/>
  <c r="AF144" i="5"/>
  <c r="AE144" i="5"/>
  <c r="AG143" i="5"/>
  <c r="AF143" i="5"/>
  <c r="AE143" i="5"/>
  <c r="AG142" i="5"/>
  <c r="AF142" i="5"/>
  <c r="AE142" i="5"/>
  <c r="AG141" i="5"/>
  <c r="AF141" i="5"/>
  <c r="AO141" i="5" s="1"/>
  <c r="AQ141" i="5" s="1"/>
  <c r="AE141" i="5"/>
  <c r="AG140" i="5"/>
  <c r="AF140" i="5"/>
  <c r="AE140" i="5"/>
  <c r="AO140" i="5" s="1"/>
  <c r="AQ140" i="5" s="1"/>
  <c r="AG139" i="5"/>
  <c r="AF139" i="5"/>
  <c r="AE139" i="5"/>
  <c r="AG138" i="5"/>
  <c r="AN138" i="5" s="1"/>
  <c r="AF138" i="5"/>
  <c r="AE138" i="5"/>
  <c r="AG137" i="5"/>
  <c r="AF137" i="5"/>
  <c r="AO137" i="5" s="1"/>
  <c r="AQ137" i="5" s="1"/>
  <c r="AE137" i="5"/>
  <c r="AG136" i="5"/>
  <c r="AF136" i="5"/>
  <c r="AE136" i="5"/>
  <c r="AG135" i="5"/>
  <c r="AF135" i="5"/>
  <c r="AE135" i="5"/>
  <c r="AG134" i="5"/>
  <c r="AF134" i="5"/>
  <c r="AE134" i="5"/>
  <c r="AG133" i="5"/>
  <c r="AF133" i="5"/>
  <c r="AO133" i="5" s="1"/>
  <c r="AQ133" i="5" s="1"/>
  <c r="AE133" i="5"/>
  <c r="AG132" i="5"/>
  <c r="AF132" i="5"/>
  <c r="AE132" i="5"/>
  <c r="AO132" i="5" s="1"/>
  <c r="AQ132" i="5" s="1"/>
  <c r="AG131" i="5"/>
  <c r="AF131" i="5"/>
  <c r="AE131" i="5"/>
  <c r="AG130" i="5"/>
  <c r="AN130" i="5" s="1"/>
  <c r="AF130" i="5"/>
  <c r="AE130" i="5"/>
  <c r="AG129" i="5"/>
  <c r="AF129" i="5"/>
  <c r="AO129" i="5" s="1"/>
  <c r="AQ129" i="5" s="1"/>
  <c r="AE129" i="5"/>
  <c r="AG128" i="5"/>
  <c r="AF128" i="5"/>
  <c r="AE128" i="5"/>
  <c r="AG127" i="5"/>
  <c r="AF127" i="5"/>
  <c r="AE127" i="5"/>
  <c r="AG126" i="5"/>
  <c r="AO126" i="5" s="1"/>
  <c r="AQ126" i="5" s="1"/>
  <c r="AF126" i="5"/>
  <c r="AE126" i="5"/>
  <c r="AG125" i="5"/>
  <c r="AF125" i="5"/>
  <c r="AO125" i="5" s="1"/>
  <c r="AQ125" i="5" s="1"/>
  <c r="AE125" i="5"/>
  <c r="AG124" i="5"/>
  <c r="AF124" i="5"/>
  <c r="AE124" i="5"/>
  <c r="AO124" i="5" s="1"/>
  <c r="AQ124" i="5" s="1"/>
  <c r="AG123" i="5"/>
  <c r="AF123" i="5"/>
  <c r="AE123" i="5"/>
  <c r="AG122" i="5"/>
  <c r="AN122" i="5" s="1"/>
  <c r="AF122" i="5"/>
  <c r="AE122" i="5"/>
  <c r="AG121" i="5"/>
  <c r="AF121" i="5"/>
  <c r="AO121" i="5" s="1"/>
  <c r="AQ121" i="5" s="1"/>
  <c r="AE121" i="5"/>
  <c r="AG120" i="5"/>
  <c r="AF120" i="5"/>
  <c r="AE120" i="5"/>
  <c r="AN120" i="5" s="1"/>
  <c r="AG119" i="5"/>
  <c r="AF119" i="5"/>
  <c r="AE119" i="5"/>
  <c r="AG118" i="5"/>
  <c r="AN118" i="5" s="1"/>
  <c r="AF118" i="5"/>
  <c r="AE118" i="5"/>
  <c r="AG117" i="5"/>
  <c r="AF117" i="5"/>
  <c r="AO117" i="5" s="1"/>
  <c r="AQ117" i="5" s="1"/>
  <c r="AE117" i="5"/>
  <c r="AG116" i="5"/>
  <c r="AF116" i="5"/>
  <c r="AE116" i="5"/>
  <c r="AN116" i="5" s="1"/>
  <c r="AG115" i="5"/>
  <c r="AF115" i="5"/>
  <c r="AE115" i="5"/>
  <c r="AG114" i="5"/>
  <c r="AN114" i="5" s="1"/>
  <c r="AF114" i="5"/>
  <c r="AE114" i="5"/>
  <c r="AG113" i="5"/>
  <c r="AF113" i="5"/>
  <c r="AE113" i="5"/>
  <c r="AG112" i="5"/>
  <c r="AF112" i="5"/>
  <c r="AE112" i="5"/>
  <c r="AN112" i="5" s="1"/>
  <c r="AG111" i="5"/>
  <c r="AF111" i="5"/>
  <c r="AE111" i="5"/>
  <c r="AG110" i="5"/>
  <c r="AO110" i="5" s="1"/>
  <c r="AQ110" i="5" s="1"/>
  <c r="AF110" i="5"/>
  <c r="AE110" i="5"/>
  <c r="AG109" i="5"/>
  <c r="AF109" i="5"/>
  <c r="AE109" i="5"/>
  <c r="AG108" i="5"/>
  <c r="AF108" i="5"/>
  <c r="AE108" i="5"/>
  <c r="AO108" i="5" s="1"/>
  <c r="AQ108" i="5" s="1"/>
  <c r="AG107" i="5"/>
  <c r="AF107" i="5"/>
  <c r="AE107" i="5"/>
  <c r="AG106" i="5"/>
  <c r="AO106" i="5" s="1"/>
  <c r="AQ106" i="5" s="1"/>
  <c r="AF106" i="5"/>
  <c r="AE106" i="5"/>
  <c r="AG105" i="5"/>
  <c r="AF105" i="5"/>
  <c r="AE105" i="5"/>
  <c r="AG104" i="5"/>
  <c r="AF104" i="5"/>
  <c r="AE104" i="5"/>
  <c r="AN104" i="5" s="1"/>
  <c r="AG103" i="5"/>
  <c r="AF103" i="5"/>
  <c r="AE103" i="5"/>
  <c r="AG102" i="5"/>
  <c r="AN102" i="5" s="1"/>
  <c r="AF102" i="5"/>
  <c r="AE102" i="5"/>
  <c r="AG101" i="5"/>
  <c r="AF101" i="5"/>
  <c r="AE101" i="5"/>
  <c r="AG100" i="5"/>
  <c r="AF100" i="5"/>
  <c r="AE100" i="5"/>
  <c r="AN100" i="5" s="1"/>
  <c r="AG99" i="5"/>
  <c r="AF99" i="5"/>
  <c r="AE99" i="5"/>
  <c r="AG98" i="5"/>
  <c r="AN98" i="5" s="1"/>
  <c r="AF98" i="5"/>
  <c r="AE98" i="5"/>
  <c r="AG97" i="5"/>
  <c r="AF97" i="5"/>
  <c r="AE97" i="5"/>
  <c r="AG96" i="5"/>
  <c r="AF96" i="5"/>
  <c r="AE96" i="5"/>
  <c r="AG95" i="5"/>
  <c r="AF95" i="5"/>
  <c r="AE95" i="5"/>
  <c r="AG94" i="5"/>
  <c r="AN94" i="5" s="1"/>
  <c r="AF94" i="5"/>
  <c r="AE94" i="5"/>
  <c r="AG93" i="5"/>
  <c r="AF93" i="5"/>
  <c r="AO93" i="5" s="1"/>
  <c r="AQ93" i="5" s="1"/>
  <c r="AE93" i="5"/>
  <c r="AG92" i="5"/>
  <c r="AF92" i="5"/>
  <c r="AE92" i="5"/>
  <c r="AG91" i="5"/>
  <c r="AF91" i="5"/>
  <c r="AE91" i="5"/>
  <c r="AG90" i="5"/>
  <c r="AF90" i="5"/>
  <c r="AE90" i="5"/>
  <c r="AG89" i="5"/>
  <c r="AF89" i="5"/>
  <c r="AE89" i="5"/>
  <c r="AG88" i="5"/>
  <c r="AF88" i="5"/>
  <c r="AE88" i="5"/>
  <c r="AN88" i="5" s="1"/>
  <c r="AG87" i="5"/>
  <c r="AF87" i="5"/>
  <c r="AE87" i="5"/>
  <c r="AG86" i="5"/>
  <c r="AF86" i="5"/>
  <c r="AE86" i="5"/>
  <c r="AG85" i="5"/>
  <c r="AF85" i="5"/>
  <c r="AO85" i="5" s="1"/>
  <c r="AQ85" i="5" s="1"/>
  <c r="AE85" i="5"/>
  <c r="AG84" i="5"/>
  <c r="AF84" i="5"/>
  <c r="AE84" i="5"/>
  <c r="AN84" i="5" s="1"/>
  <c r="AG83" i="5"/>
  <c r="AF83" i="5"/>
  <c r="AE83" i="5"/>
  <c r="AG82" i="5"/>
  <c r="AN82" i="5" s="1"/>
  <c r="AF82" i="5"/>
  <c r="AE82" i="5"/>
  <c r="AG81" i="5"/>
  <c r="AF81" i="5"/>
  <c r="AO81" i="5" s="1"/>
  <c r="AQ81" i="5" s="1"/>
  <c r="AE81" i="5"/>
  <c r="AG80" i="5"/>
  <c r="AF80" i="5"/>
  <c r="AE80" i="5"/>
  <c r="AG79" i="5"/>
  <c r="AF79" i="5"/>
  <c r="AE79" i="5"/>
  <c r="AG78" i="5"/>
  <c r="AN78" i="5" s="1"/>
  <c r="AF78" i="5"/>
  <c r="AE78" i="5"/>
  <c r="AG77" i="5"/>
  <c r="AF77" i="5"/>
  <c r="AO77" i="5" s="1"/>
  <c r="AQ77" i="5" s="1"/>
  <c r="AE77" i="5"/>
  <c r="AG76" i="5"/>
  <c r="AF76" i="5"/>
  <c r="AE76" i="5"/>
  <c r="AO76" i="5" s="1"/>
  <c r="AQ76" i="5" s="1"/>
  <c r="AG75" i="5"/>
  <c r="AF75" i="5"/>
  <c r="AE75" i="5"/>
  <c r="AG74" i="5"/>
  <c r="AN74" i="5" s="1"/>
  <c r="AF74" i="5"/>
  <c r="AE74" i="5"/>
  <c r="AG73" i="5"/>
  <c r="AF73" i="5"/>
  <c r="AE73" i="5"/>
  <c r="AG72" i="5"/>
  <c r="AF72" i="5"/>
  <c r="AE72" i="5"/>
  <c r="AO72" i="5" s="1"/>
  <c r="AQ72" i="5" s="1"/>
  <c r="AG71" i="5"/>
  <c r="AF71" i="5"/>
  <c r="AE71" i="5"/>
  <c r="AG70" i="5"/>
  <c r="AF70" i="5"/>
  <c r="AE70" i="5"/>
  <c r="AG69" i="5"/>
  <c r="AF69" i="5"/>
  <c r="AO69" i="5" s="1"/>
  <c r="AQ69" i="5" s="1"/>
  <c r="AE69" i="5"/>
  <c r="AG68" i="5"/>
  <c r="AF68" i="5"/>
  <c r="AE68" i="5"/>
  <c r="AO68" i="5" s="1"/>
  <c r="AQ68" i="5" s="1"/>
  <c r="AG67" i="5"/>
  <c r="AF67" i="5"/>
  <c r="AE67" i="5"/>
  <c r="AG66" i="5"/>
  <c r="AF66" i="5"/>
  <c r="AE66" i="5"/>
  <c r="AG65" i="5"/>
  <c r="AF65" i="5"/>
  <c r="AE65" i="5"/>
  <c r="AG64" i="5"/>
  <c r="AF64" i="5"/>
  <c r="AE64" i="5"/>
  <c r="AG63" i="5"/>
  <c r="AF63" i="5"/>
  <c r="AE63" i="5"/>
  <c r="AG62" i="5"/>
  <c r="AF62" i="5"/>
  <c r="AE62" i="5"/>
  <c r="AG61" i="5"/>
  <c r="AF61" i="5"/>
  <c r="AO61" i="5" s="1"/>
  <c r="AQ61" i="5" s="1"/>
  <c r="AE61" i="5"/>
  <c r="AG60" i="5"/>
  <c r="AF60" i="5"/>
  <c r="AE60" i="5"/>
  <c r="AG59" i="5"/>
  <c r="AF59" i="5"/>
  <c r="AE59" i="5"/>
  <c r="AG58" i="5"/>
  <c r="AF58" i="5"/>
  <c r="AE58" i="5"/>
  <c r="AG57" i="5"/>
  <c r="AF57" i="5"/>
  <c r="AO57" i="5" s="1"/>
  <c r="AQ57" i="5" s="1"/>
  <c r="AE57" i="5"/>
  <c r="AG56" i="5"/>
  <c r="AF56" i="5"/>
  <c r="AE56" i="5"/>
  <c r="AG55" i="5"/>
  <c r="AF55" i="5"/>
  <c r="AE55" i="5"/>
  <c r="AG54" i="5"/>
  <c r="AF54" i="5"/>
  <c r="AE54" i="5"/>
  <c r="AG53" i="5"/>
  <c r="AF53" i="5"/>
  <c r="AE53" i="5"/>
  <c r="AG52" i="5"/>
  <c r="AF52" i="5"/>
  <c r="AE52" i="5"/>
  <c r="AN52" i="5" s="1"/>
  <c r="AG51" i="5"/>
  <c r="AF51" i="5"/>
  <c r="AE51" i="5"/>
  <c r="AG50" i="5"/>
  <c r="AN50" i="5" s="1"/>
  <c r="AF50" i="5"/>
  <c r="AE50" i="5"/>
  <c r="AG49" i="5"/>
  <c r="AF49" i="5"/>
  <c r="AE49" i="5"/>
  <c r="AG48" i="5"/>
  <c r="AF48" i="5"/>
  <c r="AE48" i="5"/>
  <c r="AO48" i="5" s="1"/>
  <c r="AQ48" i="5" s="1"/>
  <c r="AG47" i="5"/>
  <c r="AF47" i="5"/>
  <c r="AE47" i="5"/>
  <c r="AG46" i="5"/>
  <c r="AF46" i="5"/>
  <c r="AE46" i="5"/>
  <c r="AG45" i="5"/>
  <c r="AF45" i="5"/>
  <c r="AE45" i="5"/>
  <c r="AG44" i="5"/>
  <c r="AF44" i="5"/>
  <c r="AE44" i="5"/>
  <c r="AG43" i="5"/>
  <c r="AF43" i="5"/>
  <c r="AE43" i="5"/>
  <c r="AG42" i="5"/>
  <c r="AF42" i="5"/>
  <c r="AE42" i="5"/>
  <c r="AG41" i="5"/>
  <c r="AF41" i="5"/>
  <c r="AO41" i="5" s="1"/>
  <c r="AQ41" i="5" s="1"/>
  <c r="AE41" i="5"/>
  <c r="AG40" i="5"/>
  <c r="AF40" i="5"/>
  <c r="AE40" i="5"/>
  <c r="AG39" i="5"/>
  <c r="AF39" i="5"/>
  <c r="AE39" i="5"/>
  <c r="AG38" i="5"/>
  <c r="AF38" i="5"/>
  <c r="AE38" i="5"/>
  <c r="AG37" i="5"/>
  <c r="AF37" i="5"/>
  <c r="AO37" i="5" s="1"/>
  <c r="AQ37" i="5" s="1"/>
  <c r="AE37" i="5"/>
  <c r="AG36" i="5"/>
  <c r="AF36" i="5"/>
  <c r="AE36" i="5"/>
  <c r="AN36" i="5" s="1"/>
  <c r="AG35" i="5"/>
  <c r="AF35" i="5"/>
  <c r="AE35" i="5"/>
  <c r="AG34" i="5"/>
  <c r="AF34" i="5"/>
  <c r="AE34" i="5"/>
  <c r="AG33" i="5"/>
  <c r="AF33" i="5"/>
  <c r="AE33" i="5"/>
  <c r="AG32" i="5"/>
  <c r="AF32" i="5"/>
  <c r="AE32" i="5"/>
  <c r="AN32" i="5" s="1"/>
  <c r="AG31" i="5"/>
  <c r="AF31" i="5"/>
  <c r="AE31" i="5"/>
  <c r="AG30" i="5"/>
  <c r="AO30" i="5" s="1"/>
  <c r="AQ30" i="5" s="1"/>
  <c r="AF30" i="5"/>
  <c r="AE30" i="5"/>
  <c r="AG29" i="5"/>
  <c r="AF29" i="5"/>
  <c r="AE29" i="5"/>
  <c r="AG28" i="5"/>
  <c r="AF28" i="5"/>
  <c r="AE28" i="5"/>
  <c r="AO28" i="5" s="1"/>
  <c r="AQ28" i="5" s="1"/>
  <c r="AG27" i="5"/>
  <c r="AF27" i="5"/>
  <c r="AE27" i="5"/>
  <c r="AG26" i="5"/>
  <c r="AF26" i="5"/>
  <c r="AE26" i="5"/>
  <c r="AG25" i="5"/>
  <c r="AF25" i="5"/>
  <c r="AE25" i="5"/>
  <c r="AG24" i="5"/>
  <c r="AF24" i="5"/>
  <c r="AE24" i="5"/>
  <c r="AG23" i="5"/>
  <c r="AF23" i="5"/>
  <c r="AE23" i="5"/>
  <c r="AG22" i="5"/>
  <c r="AO22" i="5" s="1"/>
  <c r="AQ22" i="5" s="1"/>
  <c r="AF22" i="5"/>
  <c r="AE22" i="5"/>
  <c r="AG21" i="5"/>
  <c r="AF21" i="5"/>
  <c r="AE21" i="5"/>
  <c r="AG20" i="5"/>
  <c r="AF20" i="5"/>
  <c r="AE20" i="5"/>
  <c r="AN20" i="5" s="1"/>
  <c r="AG19" i="5"/>
  <c r="AF19" i="5"/>
  <c r="AE19" i="5"/>
  <c r="AG18" i="5"/>
  <c r="AO18" i="5" s="1"/>
  <c r="AQ18" i="5" s="1"/>
  <c r="AF18" i="5"/>
  <c r="AE18" i="5"/>
  <c r="AG17" i="5"/>
  <c r="AF17" i="5"/>
  <c r="AE17" i="5"/>
  <c r="AG16" i="5"/>
  <c r="AF16" i="5"/>
  <c r="AE16" i="5"/>
  <c r="AG15" i="5"/>
  <c r="AF15" i="5"/>
  <c r="AE15" i="5"/>
  <c r="AG14" i="5"/>
  <c r="AN14" i="5" s="1"/>
  <c r="AF14" i="5"/>
  <c r="AE14" i="5"/>
  <c r="AG13" i="5"/>
  <c r="AF13" i="5"/>
  <c r="AE13" i="5"/>
  <c r="AG12" i="5"/>
  <c r="AF12" i="5"/>
  <c r="AE12" i="5"/>
  <c r="AN12" i="5" s="1"/>
  <c r="AG11" i="5"/>
  <c r="AF11" i="5"/>
  <c r="AE11" i="5"/>
  <c r="AG10" i="5"/>
  <c r="AO10" i="5" s="1"/>
  <c r="AQ10" i="5" s="1"/>
  <c r="AF10" i="5"/>
  <c r="AE10" i="5"/>
  <c r="AG9" i="5"/>
  <c r="AF9" i="5"/>
  <c r="AO9" i="5" s="1"/>
  <c r="AQ9" i="5" s="1"/>
  <c r="AE9" i="5"/>
  <c r="AG8" i="5"/>
  <c r="AF8" i="5"/>
  <c r="AE8" i="5"/>
  <c r="AN8" i="5" s="1"/>
  <c r="AG7" i="5"/>
  <c r="AF7" i="5"/>
  <c r="AE7" i="5"/>
  <c r="AG6" i="5"/>
  <c r="AF6" i="5"/>
  <c r="AE6" i="5"/>
  <c r="AG5" i="5"/>
  <c r="AF5" i="5"/>
  <c r="AO5" i="5" s="1"/>
  <c r="AQ5" i="5" s="1"/>
  <c r="AE5" i="5"/>
  <c r="AG4" i="5"/>
  <c r="AF4" i="5"/>
  <c r="AE4" i="5"/>
  <c r="AP391" i="5"/>
  <c r="AN391" i="5"/>
  <c r="AL391" i="5"/>
  <c r="AK391" i="5"/>
  <c r="AO391" i="5"/>
  <c r="AQ391" i="5" s="1"/>
  <c r="AP390" i="5"/>
  <c r="AL390" i="5"/>
  <c r="AK390" i="5"/>
  <c r="AP389" i="5"/>
  <c r="AL389" i="5"/>
  <c r="AK389" i="5"/>
  <c r="AP388" i="5"/>
  <c r="AK388" i="5"/>
  <c r="AA388" i="5"/>
  <c r="Z388" i="5"/>
  <c r="Y388" i="5"/>
  <c r="X388" i="5"/>
  <c r="S388" i="5"/>
  <c r="R388" i="5"/>
  <c r="N388" i="5"/>
  <c r="M388" i="5"/>
  <c r="L388" i="5"/>
  <c r="G388" i="5"/>
  <c r="AP387" i="5"/>
  <c r="AO387" i="5"/>
  <c r="AQ387" i="5" s="1"/>
  <c r="AL387" i="5"/>
  <c r="AK387" i="5"/>
  <c r="AN387" i="5"/>
  <c r="AP386" i="5"/>
  <c r="AL386" i="5"/>
  <c r="AK386" i="5"/>
  <c r="X386" i="5"/>
  <c r="AP385" i="5"/>
  <c r="AL385" i="5"/>
  <c r="AK385" i="5"/>
  <c r="AN385" i="5"/>
  <c r="AP384" i="5"/>
  <c r="AL384" i="5"/>
  <c r="AK384" i="5"/>
  <c r="AP383" i="5"/>
  <c r="AL383" i="5"/>
  <c r="AK383" i="5"/>
  <c r="AO383" i="5"/>
  <c r="AQ383" i="5" s="1"/>
  <c r="AP382" i="5"/>
  <c r="AL382" i="5"/>
  <c r="AK382" i="5"/>
  <c r="AP381" i="5"/>
  <c r="AK381" i="5"/>
  <c r="X381" i="5"/>
  <c r="Q381" i="5"/>
  <c r="J381" i="5"/>
  <c r="I381" i="5"/>
  <c r="H381" i="5"/>
  <c r="G381" i="5"/>
  <c r="F381" i="5"/>
  <c r="AP380" i="5"/>
  <c r="AL380" i="5"/>
  <c r="AK380" i="5"/>
  <c r="AP379" i="5"/>
  <c r="AL379" i="5"/>
  <c r="AK379" i="5"/>
  <c r="AP378" i="5"/>
  <c r="AL378" i="5"/>
  <c r="AK378" i="5"/>
  <c r="AP377" i="5"/>
  <c r="AL377" i="5"/>
  <c r="AK377" i="5"/>
  <c r="AN377" i="5"/>
  <c r="AP376" i="5"/>
  <c r="AL376" i="5"/>
  <c r="AK376" i="5"/>
  <c r="U376" i="5"/>
  <c r="AP375" i="5"/>
  <c r="AL375" i="5"/>
  <c r="AK375" i="5"/>
  <c r="AO375" i="5"/>
  <c r="AQ375" i="5" s="1"/>
  <c r="AP374" i="5"/>
  <c r="AN374" i="5"/>
  <c r="AL374" i="5"/>
  <c r="AK374" i="5"/>
  <c r="AP373" i="5"/>
  <c r="AL373" i="5"/>
  <c r="AK373" i="5"/>
  <c r="AP372" i="5"/>
  <c r="AL372" i="5"/>
  <c r="AK372" i="5"/>
  <c r="AP371" i="5"/>
  <c r="AL371" i="5"/>
  <c r="AK371" i="5"/>
  <c r="AO371" i="5"/>
  <c r="AQ371" i="5" s="1"/>
  <c r="AP370" i="5"/>
  <c r="AL370" i="5"/>
  <c r="AK370" i="5"/>
  <c r="AO370" i="5"/>
  <c r="AQ370" i="5" s="1"/>
  <c r="AP369" i="5"/>
  <c r="AK369" i="5"/>
  <c r="AA369" i="5"/>
  <c r="Z369" i="5"/>
  <c r="Y369" i="5"/>
  <c r="X369" i="5"/>
  <c r="V369" i="5"/>
  <c r="T369" i="5"/>
  <c r="P369" i="5"/>
  <c r="O369" i="5"/>
  <c r="M369" i="5"/>
  <c r="K369" i="5"/>
  <c r="I369" i="5"/>
  <c r="H369" i="5"/>
  <c r="G369" i="5"/>
  <c r="AP368" i="5"/>
  <c r="AK368" i="5"/>
  <c r="AB368" i="5"/>
  <c r="AA368" i="5"/>
  <c r="Z368" i="5"/>
  <c r="Y368" i="5"/>
  <c r="X368" i="5"/>
  <c r="W368" i="5"/>
  <c r="V368" i="5"/>
  <c r="U368" i="5"/>
  <c r="T368" i="5"/>
  <c r="S368" i="5"/>
  <c r="R368" i="5"/>
  <c r="Q368" i="5"/>
  <c r="P368" i="5"/>
  <c r="O368" i="5"/>
  <c r="N368" i="5"/>
  <c r="M368" i="5"/>
  <c r="L368" i="5"/>
  <c r="K368" i="5"/>
  <c r="J368" i="5"/>
  <c r="I368" i="5"/>
  <c r="H368" i="5"/>
  <c r="G368" i="5"/>
  <c r="F368" i="5"/>
  <c r="AP367" i="5"/>
  <c r="AL367" i="5"/>
  <c r="AK367" i="5"/>
  <c r="AO367" i="5"/>
  <c r="AQ367" i="5" s="1"/>
  <c r="AP366" i="5"/>
  <c r="AL366" i="5"/>
  <c r="AK366" i="5"/>
  <c r="AP365" i="5"/>
  <c r="AL365" i="5"/>
  <c r="AK365" i="5"/>
  <c r="AP364" i="5"/>
  <c r="AK364" i="5"/>
  <c r="AB364" i="5"/>
  <c r="AA364" i="5"/>
  <c r="Z364" i="5"/>
  <c r="Y364" i="5"/>
  <c r="X364" i="5"/>
  <c r="W364" i="5"/>
  <c r="V364" i="5"/>
  <c r="U364" i="5"/>
  <c r="T364" i="5"/>
  <c r="S364" i="5"/>
  <c r="R364" i="5"/>
  <c r="Q364" i="5"/>
  <c r="P364" i="5"/>
  <c r="O364" i="5"/>
  <c r="N364" i="5"/>
  <c r="M364" i="5"/>
  <c r="L364" i="5"/>
  <c r="K364" i="5"/>
  <c r="J364" i="5"/>
  <c r="I364" i="5"/>
  <c r="AL364" i="5" s="1"/>
  <c r="H364" i="5"/>
  <c r="G364" i="5"/>
  <c r="AP363" i="5"/>
  <c r="AK363" i="5"/>
  <c r="AB363" i="5"/>
  <c r="Z363" i="5"/>
  <c r="Y363" i="5"/>
  <c r="X363" i="5"/>
  <c r="W363" i="5"/>
  <c r="V363" i="5"/>
  <c r="U363" i="5"/>
  <c r="T363" i="5"/>
  <c r="S363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AP362" i="5"/>
  <c r="AL362" i="5"/>
  <c r="AK362" i="5"/>
  <c r="AP361" i="5"/>
  <c r="AL361" i="5"/>
  <c r="AK361" i="5"/>
  <c r="AP360" i="5"/>
  <c r="AL360" i="5"/>
  <c r="AK360" i="5"/>
  <c r="AP359" i="5"/>
  <c r="AK359" i="5"/>
  <c r="AB359" i="5"/>
  <c r="AA359" i="5"/>
  <c r="Z359" i="5"/>
  <c r="Y359" i="5"/>
  <c r="X359" i="5"/>
  <c r="V359" i="5"/>
  <c r="U359" i="5"/>
  <c r="T359" i="5"/>
  <c r="R359" i="5"/>
  <c r="Q359" i="5"/>
  <c r="P359" i="5"/>
  <c r="O359" i="5"/>
  <c r="N359" i="5"/>
  <c r="M359" i="5"/>
  <c r="L359" i="5"/>
  <c r="K359" i="5"/>
  <c r="H359" i="5"/>
  <c r="G359" i="5"/>
  <c r="F359" i="5"/>
  <c r="AP358" i="5"/>
  <c r="AL358" i="5"/>
  <c r="AK358" i="5"/>
  <c r="AP357" i="5"/>
  <c r="AL357" i="5"/>
  <c r="AK357" i="5"/>
  <c r="AN357" i="5"/>
  <c r="AP356" i="5"/>
  <c r="AL356" i="5"/>
  <c r="AK356" i="5"/>
  <c r="AB356" i="5"/>
  <c r="Z356" i="5"/>
  <c r="Y356" i="5"/>
  <c r="X356" i="5"/>
  <c r="W356" i="5"/>
  <c r="V356" i="5"/>
  <c r="U356" i="5"/>
  <c r="T356" i="5"/>
  <c r="S356" i="5"/>
  <c r="R356" i="5"/>
  <c r="Q356" i="5"/>
  <c r="P356" i="5"/>
  <c r="O356" i="5"/>
  <c r="N356" i="5"/>
  <c r="M356" i="5"/>
  <c r="L356" i="5"/>
  <c r="K356" i="5"/>
  <c r="J356" i="5"/>
  <c r="I356" i="5"/>
  <c r="H356" i="5"/>
  <c r="G356" i="5"/>
  <c r="F356" i="5"/>
  <c r="AP355" i="5"/>
  <c r="AL355" i="5"/>
  <c r="AK355" i="5"/>
  <c r="AP354" i="5"/>
  <c r="AL354" i="5"/>
  <c r="AK354" i="5"/>
  <c r="AP353" i="5"/>
  <c r="AL353" i="5"/>
  <c r="AK353" i="5"/>
  <c r="AP352" i="5"/>
  <c r="AL352" i="5"/>
  <c r="AK352" i="5"/>
  <c r="AP351" i="5"/>
  <c r="AL351" i="5"/>
  <c r="AK351" i="5"/>
  <c r="AP350" i="5"/>
  <c r="AK350" i="5"/>
  <c r="AB350" i="5"/>
  <c r="Y350" i="5"/>
  <c r="X350" i="5"/>
  <c r="W350" i="5"/>
  <c r="V350" i="5"/>
  <c r="U350" i="5"/>
  <c r="T350" i="5"/>
  <c r="S350" i="5"/>
  <c r="R350" i="5"/>
  <c r="Q350" i="5"/>
  <c r="P350" i="5"/>
  <c r="O350" i="5"/>
  <c r="N350" i="5"/>
  <c r="M350" i="5"/>
  <c r="L350" i="5"/>
  <c r="K350" i="5"/>
  <c r="J350" i="5"/>
  <c r="I350" i="5"/>
  <c r="H350" i="5"/>
  <c r="G350" i="5"/>
  <c r="AL350" i="5" s="1"/>
  <c r="AP349" i="5"/>
  <c r="AL349" i="5"/>
  <c r="AK349" i="5"/>
  <c r="AP348" i="5"/>
  <c r="AO348" i="5"/>
  <c r="AQ348" i="5" s="1"/>
  <c r="AL348" i="5"/>
  <c r="AK348" i="5"/>
  <c r="AP347" i="5"/>
  <c r="AL347" i="5"/>
  <c r="AK347" i="5"/>
  <c r="AP346" i="5"/>
  <c r="AL346" i="5"/>
  <c r="AK346" i="5"/>
  <c r="AP345" i="5"/>
  <c r="AL345" i="5"/>
  <c r="AK345" i="5"/>
  <c r="AN345" i="5"/>
  <c r="AP344" i="5"/>
  <c r="AL344" i="5"/>
  <c r="AK344" i="5"/>
  <c r="AP343" i="5"/>
  <c r="AL343" i="5"/>
  <c r="AK343" i="5"/>
  <c r="AO343" i="5"/>
  <c r="AQ343" i="5" s="1"/>
  <c r="AP342" i="5"/>
  <c r="AL342" i="5"/>
  <c r="AK342" i="5"/>
  <c r="AP341" i="5"/>
  <c r="AL341" i="5"/>
  <c r="AK341" i="5"/>
  <c r="AN341" i="5"/>
  <c r="AO341" i="5"/>
  <c r="AQ341" i="5" s="1"/>
  <c r="AP340" i="5"/>
  <c r="AL340" i="5"/>
  <c r="AK340" i="5"/>
  <c r="AP339" i="5"/>
  <c r="AL339" i="5"/>
  <c r="AK339" i="5"/>
  <c r="AO339" i="5"/>
  <c r="AQ339" i="5" s="1"/>
  <c r="AP338" i="5"/>
  <c r="AL338" i="5"/>
  <c r="AK338" i="5"/>
  <c r="AP337" i="5"/>
  <c r="AL337" i="5"/>
  <c r="AK337" i="5"/>
  <c r="AN337" i="5"/>
  <c r="AP336" i="5"/>
  <c r="AL336" i="5"/>
  <c r="AK336" i="5"/>
  <c r="AP335" i="5"/>
  <c r="AL335" i="5"/>
  <c r="AK335" i="5"/>
  <c r="AN335" i="5"/>
  <c r="AO335" i="5"/>
  <c r="AQ335" i="5" s="1"/>
  <c r="AP334" i="5"/>
  <c r="AL334" i="5"/>
  <c r="AK334" i="5"/>
  <c r="AP333" i="5"/>
  <c r="AL333" i="5"/>
  <c r="AK333" i="5"/>
  <c r="AN333" i="5"/>
  <c r="AP332" i="5"/>
  <c r="AL332" i="5"/>
  <c r="AK332" i="5"/>
  <c r="AP331" i="5"/>
  <c r="AL331" i="5"/>
  <c r="AK331" i="5"/>
  <c r="AO331" i="5"/>
  <c r="AQ331" i="5" s="1"/>
  <c r="AP330" i="5"/>
  <c r="AL330" i="5"/>
  <c r="AK330" i="5"/>
  <c r="AP329" i="5"/>
  <c r="AL329" i="5"/>
  <c r="AK329" i="5"/>
  <c r="AN329" i="5"/>
  <c r="AP328" i="5"/>
  <c r="AL328" i="5"/>
  <c r="AK328" i="5"/>
  <c r="AP327" i="5"/>
  <c r="AL327" i="5"/>
  <c r="AK327" i="5"/>
  <c r="AO327" i="5"/>
  <c r="AQ327" i="5" s="1"/>
  <c r="AP326" i="5"/>
  <c r="AL326" i="5"/>
  <c r="AK326" i="5"/>
  <c r="AP325" i="5"/>
  <c r="AL325" i="5"/>
  <c r="AK325" i="5"/>
  <c r="AN325" i="5"/>
  <c r="AP324" i="5"/>
  <c r="AL324" i="5"/>
  <c r="AK324" i="5"/>
  <c r="AP323" i="5"/>
  <c r="AL323" i="5"/>
  <c r="AK323" i="5"/>
  <c r="AO323" i="5"/>
  <c r="AQ323" i="5" s="1"/>
  <c r="AP322" i="5"/>
  <c r="AL322" i="5"/>
  <c r="AK322" i="5"/>
  <c r="AP321" i="5"/>
  <c r="AL321" i="5"/>
  <c r="AK321" i="5"/>
  <c r="AN321" i="5"/>
  <c r="AP320" i="5"/>
  <c r="AL320" i="5"/>
  <c r="AK320" i="5"/>
  <c r="AP319" i="5"/>
  <c r="AL319" i="5"/>
  <c r="AK319" i="5"/>
  <c r="AO319" i="5"/>
  <c r="AQ319" i="5" s="1"/>
  <c r="AP318" i="5"/>
  <c r="AL318" i="5"/>
  <c r="AK318" i="5"/>
  <c r="AP317" i="5"/>
  <c r="AL317" i="5"/>
  <c r="AK317" i="5"/>
  <c r="AP316" i="5"/>
  <c r="AL316" i="5"/>
  <c r="AK316" i="5"/>
  <c r="AP315" i="5"/>
  <c r="AK315" i="5"/>
  <c r="AB315" i="5"/>
  <c r="AA315" i="5"/>
  <c r="Z315" i="5"/>
  <c r="Y315" i="5"/>
  <c r="X315" i="5"/>
  <c r="V315" i="5"/>
  <c r="U315" i="5"/>
  <c r="R315" i="5"/>
  <c r="O315" i="5"/>
  <c r="N315" i="5"/>
  <c r="M315" i="5"/>
  <c r="L315" i="5"/>
  <c r="K315" i="5"/>
  <c r="G315" i="5"/>
  <c r="AP314" i="5"/>
  <c r="AL314" i="5"/>
  <c r="AK314" i="5"/>
  <c r="AP313" i="5"/>
  <c r="AL313" i="5"/>
  <c r="AK313" i="5"/>
  <c r="AP312" i="5"/>
  <c r="AL312" i="5"/>
  <c r="AK312" i="5"/>
  <c r="AP311" i="5"/>
  <c r="AL311" i="5"/>
  <c r="AK311" i="5"/>
  <c r="AO311" i="5"/>
  <c r="AQ311" i="5" s="1"/>
  <c r="AP310" i="5"/>
  <c r="AL310" i="5"/>
  <c r="AK310" i="5"/>
  <c r="AP309" i="5"/>
  <c r="AL309" i="5"/>
  <c r="AK309" i="5"/>
  <c r="AP308" i="5"/>
  <c r="AL308" i="5"/>
  <c r="AK308" i="5"/>
  <c r="AP307" i="5"/>
  <c r="AL307" i="5"/>
  <c r="AK307" i="5"/>
  <c r="AO307" i="5"/>
  <c r="AQ307" i="5" s="1"/>
  <c r="AP306" i="5"/>
  <c r="AL306" i="5"/>
  <c r="AK306" i="5"/>
  <c r="AP305" i="5"/>
  <c r="AL305" i="5"/>
  <c r="AK305" i="5"/>
  <c r="AO305" i="5"/>
  <c r="AQ305" i="5" s="1"/>
  <c r="AP304" i="5"/>
  <c r="AL304" i="5"/>
  <c r="AK304" i="5"/>
  <c r="AP303" i="5"/>
  <c r="AL303" i="5"/>
  <c r="AK303" i="5"/>
  <c r="AO303" i="5"/>
  <c r="AQ303" i="5" s="1"/>
  <c r="AP302" i="5"/>
  <c r="AL302" i="5"/>
  <c r="AK302" i="5"/>
  <c r="AP301" i="5"/>
  <c r="AL301" i="5"/>
  <c r="AK301" i="5"/>
  <c r="AN301" i="5"/>
  <c r="AP300" i="5"/>
  <c r="AL300" i="5"/>
  <c r="AK300" i="5"/>
  <c r="AP299" i="5"/>
  <c r="AN299" i="5"/>
  <c r="AL299" i="5"/>
  <c r="AK299" i="5"/>
  <c r="AO299" i="5"/>
  <c r="AQ299" i="5" s="1"/>
  <c r="AP298" i="5"/>
  <c r="AL298" i="5"/>
  <c r="AK298" i="5"/>
  <c r="AP297" i="5"/>
  <c r="AN297" i="5"/>
  <c r="AL297" i="5"/>
  <c r="AK297" i="5"/>
  <c r="AP296" i="5"/>
  <c r="AL296" i="5"/>
  <c r="AK296" i="5"/>
  <c r="AP295" i="5"/>
  <c r="AN295" i="5"/>
  <c r="AL295" i="5"/>
  <c r="AK295" i="5"/>
  <c r="AO295" i="5"/>
  <c r="AQ295" i="5" s="1"/>
  <c r="AP294" i="5"/>
  <c r="AL294" i="5"/>
  <c r="AK294" i="5"/>
  <c r="AP293" i="5"/>
  <c r="AK293" i="5"/>
  <c r="U293" i="5"/>
  <c r="AL293" i="5" s="1"/>
  <c r="AP292" i="5"/>
  <c r="AK292" i="5"/>
  <c r="AA292" i="5"/>
  <c r="Z292" i="5"/>
  <c r="X292" i="5"/>
  <c r="W292" i="5"/>
  <c r="V292" i="5"/>
  <c r="U292" i="5"/>
  <c r="O292" i="5"/>
  <c r="M292" i="5"/>
  <c r="L292" i="5"/>
  <c r="J292" i="5"/>
  <c r="I292" i="5"/>
  <c r="G292" i="5"/>
  <c r="AP291" i="5"/>
  <c r="AK291" i="5"/>
  <c r="Z291" i="5"/>
  <c r="X291" i="5"/>
  <c r="U291" i="5"/>
  <c r="AP290" i="5"/>
  <c r="AK290" i="5"/>
  <c r="Y290" i="5"/>
  <c r="W290" i="5"/>
  <c r="V290" i="5"/>
  <c r="U290" i="5"/>
  <c r="T290" i="5"/>
  <c r="R290" i="5"/>
  <c r="L290" i="5"/>
  <c r="K290" i="5"/>
  <c r="J290" i="5"/>
  <c r="H290" i="5"/>
  <c r="G290" i="5"/>
  <c r="F290" i="5"/>
  <c r="AP289" i="5"/>
  <c r="AN289" i="5"/>
  <c r="AL289" i="5"/>
  <c r="AK289" i="5"/>
  <c r="AP288" i="5"/>
  <c r="AL288" i="5"/>
  <c r="AK288" i="5"/>
  <c r="AP287" i="5"/>
  <c r="AN287" i="5"/>
  <c r="AL287" i="5"/>
  <c r="AK287" i="5"/>
  <c r="AO287" i="5"/>
  <c r="AQ287" i="5" s="1"/>
  <c r="AP286" i="5"/>
  <c r="AL286" i="5"/>
  <c r="AK286" i="5"/>
  <c r="Y286" i="5"/>
  <c r="V286" i="5"/>
  <c r="R286" i="5"/>
  <c r="L286" i="5"/>
  <c r="K286" i="5"/>
  <c r="J286" i="5"/>
  <c r="I286" i="5"/>
  <c r="H286" i="5"/>
  <c r="G286" i="5"/>
  <c r="F286" i="5"/>
  <c r="AP285" i="5"/>
  <c r="AL285" i="5"/>
  <c r="AK285" i="5"/>
  <c r="AP284" i="5"/>
  <c r="AL284" i="5"/>
  <c r="AK284" i="5"/>
  <c r="AO284" i="5"/>
  <c r="AQ284" i="5" s="1"/>
  <c r="AP283" i="5"/>
  <c r="AN283" i="5"/>
  <c r="AL283" i="5"/>
  <c r="AK283" i="5"/>
  <c r="AP282" i="5"/>
  <c r="AL282" i="5"/>
  <c r="AK282" i="5"/>
  <c r="AO282" i="5"/>
  <c r="AQ282" i="5" s="1"/>
  <c r="AP281" i="5"/>
  <c r="AL281" i="5"/>
  <c r="AK281" i="5"/>
  <c r="AP280" i="5"/>
  <c r="AL280" i="5"/>
  <c r="AK280" i="5"/>
  <c r="AP279" i="5"/>
  <c r="AN279" i="5"/>
  <c r="AL279" i="5"/>
  <c r="AK279" i="5"/>
  <c r="AP278" i="5"/>
  <c r="AL278" i="5"/>
  <c r="AK278" i="5"/>
  <c r="AP277" i="5"/>
  <c r="AL277" i="5"/>
  <c r="AK277" i="5"/>
  <c r="AP276" i="5"/>
  <c r="AL276" i="5"/>
  <c r="AK276" i="5"/>
  <c r="AP275" i="5"/>
  <c r="AN275" i="5"/>
  <c r="AL275" i="5"/>
  <c r="AK275" i="5"/>
  <c r="AP274" i="5"/>
  <c r="AL274" i="5"/>
  <c r="AK274" i="5"/>
  <c r="AP273" i="5"/>
  <c r="AL273" i="5"/>
  <c r="AK273" i="5"/>
  <c r="AP272" i="5"/>
  <c r="AL272" i="5"/>
  <c r="AK272" i="5"/>
  <c r="AP271" i="5"/>
  <c r="AN271" i="5"/>
  <c r="AL271" i="5"/>
  <c r="AK271" i="5"/>
  <c r="AP270" i="5"/>
  <c r="AL270" i="5"/>
  <c r="AK270" i="5"/>
  <c r="AP269" i="5"/>
  <c r="AL269" i="5"/>
  <c r="AK269" i="5"/>
  <c r="AP268" i="5"/>
  <c r="AK268" i="5"/>
  <c r="AB268" i="5"/>
  <c r="AA268" i="5"/>
  <c r="Z268" i="5"/>
  <c r="Y268" i="5"/>
  <c r="X268" i="5"/>
  <c r="W268" i="5"/>
  <c r="V268" i="5"/>
  <c r="U268" i="5"/>
  <c r="T268" i="5"/>
  <c r="R268" i="5"/>
  <c r="Q268" i="5"/>
  <c r="O268" i="5"/>
  <c r="N268" i="5"/>
  <c r="M268" i="5"/>
  <c r="K268" i="5"/>
  <c r="I268" i="5"/>
  <c r="G268" i="5"/>
  <c r="AL268" i="5" s="1"/>
  <c r="AP267" i="5"/>
  <c r="AN267" i="5"/>
  <c r="AL267" i="5"/>
  <c r="AK267" i="5"/>
  <c r="AO267" i="5"/>
  <c r="AQ267" i="5" s="1"/>
  <c r="AP266" i="5"/>
  <c r="AL266" i="5"/>
  <c r="AK266" i="5"/>
  <c r="AP265" i="5"/>
  <c r="AK265" i="5"/>
  <c r="AB265" i="5"/>
  <c r="W265" i="5"/>
  <c r="L265" i="5"/>
  <c r="AP264" i="5"/>
  <c r="AK264" i="5"/>
  <c r="AA264" i="5"/>
  <c r="O264" i="5"/>
  <c r="N264" i="5"/>
  <c r="AP263" i="5"/>
  <c r="AL263" i="5"/>
  <c r="AK263" i="5"/>
  <c r="AO263" i="5"/>
  <c r="AQ263" i="5" s="1"/>
  <c r="AP262" i="5"/>
  <c r="AL262" i="5"/>
  <c r="AK262" i="5"/>
  <c r="AP261" i="5"/>
  <c r="AK261" i="5"/>
  <c r="R261" i="5"/>
  <c r="O261" i="5"/>
  <c r="AP260" i="5"/>
  <c r="AL260" i="5"/>
  <c r="AK260" i="5"/>
  <c r="AP259" i="5"/>
  <c r="AN259" i="5"/>
  <c r="AL259" i="5"/>
  <c r="AK259" i="5"/>
  <c r="AP258" i="5"/>
  <c r="AL258" i="5"/>
  <c r="AK258" i="5"/>
  <c r="AP257" i="5"/>
  <c r="AN257" i="5"/>
  <c r="AL257" i="5"/>
  <c r="AK257" i="5"/>
  <c r="AP256" i="5"/>
  <c r="AL256" i="5"/>
  <c r="AK256" i="5"/>
  <c r="AP255" i="5"/>
  <c r="AN255" i="5"/>
  <c r="AL255" i="5"/>
  <c r="AK255" i="5"/>
  <c r="N255" i="5"/>
  <c r="AP254" i="5"/>
  <c r="AL254" i="5"/>
  <c r="AK254" i="5"/>
  <c r="AP253" i="5"/>
  <c r="AL253" i="5"/>
  <c r="AK253" i="5"/>
  <c r="AN253" i="5"/>
  <c r="AP252" i="5"/>
  <c r="AL252" i="5"/>
  <c r="AK252" i="5"/>
  <c r="AP251" i="5"/>
  <c r="AN251" i="5"/>
  <c r="AL251" i="5"/>
  <c r="AK251" i="5"/>
  <c r="AP250" i="5"/>
  <c r="AL250" i="5"/>
  <c r="AK250" i="5"/>
  <c r="AP249" i="5"/>
  <c r="AN249" i="5"/>
  <c r="AL249" i="5"/>
  <c r="AK249" i="5"/>
  <c r="AP248" i="5"/>
  <c r="AL248" i="5"/>
  <c r="AK248" i="5"/>
  <c r="AN248" i="5"/>
  <c r="AP247" i="5"/>
  <c r="AN247" i="5"/>
  <c r="AL247" i="5"/>
  <c r="AK247" i="5"/>
  <c r="AP246" i="5"/>
  <c r="AL246" i="5"/>
  <c r="AK246" i="5"/>
  <c r="AP245" i="5"/>
  <c r="AN245" i="5"/>
  <c r="AL245" i="5"/>
  <c r="AK245" i="5"/>
  <c r="AP244" i="5"/>
  <c r="AK244" i="5"/>
  <c r="S244" i="5"/>
  <c r="M244" i="5"/>
  <c r="J244" i="5"/>
  <c r="I244" i="5"/>
  <c r="AL244" i="5" s="1"/>
  <c r="AP243" i="5"/>
  <c r="AK243" i="5"/>
  <c r="T243" i="5"/>
  <c r="M243" i="5"/>
  <c r="G243" i="5"/>
  <c r="AP242" i="5"/>
  <c r="AK242" i="5"/>
  <c r="P242" i="5"/>
  <c r="AL242" i="5" s="1"/>
  <c r="AP241" i="5"/>
  <c r="AN241" i="5"/>
  <c r="AL241" i="5"/>
  <c r="AK241" i="5"/>
  <c r="AP240" i="5"/>
  <c r="AL240" i="5"/>
  <c r="AK240" i="5"/>
  <c r="AP239" i="5"/>
  <c r="AN239" i="5"/>
  <c r="AL239" i="5"/>
  <c r="AK239" i="5"/>
  <c r="AP238" i="5"/>
  <c r="AL238" i="5"/>
  <c r="AK238" i="5"/>
  <c r="AP237" i="5"/>
  <c r="AN237" i="5"/>
  <c r="AL237" i="5"/>
  <c r="AK237" i="5"/>
  <c r="AP236" i="5"/>
  <c r="AL236" i="5"/>
  <c r="AK236" i="5"/>
  <c r="AP235" i="5"/>
  <c r="AL235" i="5"/>
  <c r="AK235" i="5"/>
  <c r="AN235" i="5"/>
  <c r="AP234" i="5"/>
  <c r="AL234" i="5"/>
  <c r="AK234" i="5"/>
  <c r="AP233" i="5"/>
  <c r="AL233" i="5"/>
  <c r="AK233" i="5"/>
  <c r="AP232" i="5"/>
  <c r="AL232" i="5"/>
  <c r="AK232" i="5"/>
  <c r="AP231" i="5"/>
  <c r="AL231" i="5"/>
  <c r="AK231" i="5"/>
  <c r="AN231" i="5"/>
  <c r="AP230" i="5"/>
  <c r="AL230" i="5"/>
  <c r="AK230" i="5"/>
  <c r="AP229" i="5"/>
  <c r="AL229" i="5"/>
  <c r="AK229" i="5"/>
  <c r="AP228" i="5"/>
  <c r="AL228" i="5"/>
  <c r="AK228" i="5"/>
  <c r="AP227" i="5"/>
  <c r="AL227" i="5"/>
  <c r="AK227" i="5"/>
  <c r="AN227" i="5"/>
  <c r="AP226" i="5"/>
  <c r="AL226" i="5"/>
  <c r="AK226" i="5"/>
  <c r="AP225" i="5"/>
  <c r="AL225" i="5"/>
  <c r="AK225" i="5"/>
  <c r="AP224" i="5"/>
  <c r="AL224" i="5"/>
  <c r="AK224" i="5"/>
  <c r="AP223" i="5"/>
  <c r="AL223" i="5"/>
  <c r="AK223" i="5"/>
  <c r="AN223" i="5"/>
  <c r="AP222" i="5"/>
  <c r="AK222" i="5"/>
  <c r="Y222" i="5"/>
  <c r="X222" i="5"/>
  <c r="W222" i="5"/>
  <c r="V222" i="5"/>
  <c r="U222" i="5"/>
  <c r="T222" i="5"/>
  <c r="P222" i="5"/>
  <c r="O222" i="5"/>
  <c r="AL222" i="5" s="1"/>
  <c r="M222" i="5"/>
  <c r="AP221" i="5"/>
  <c r="AK221" i="5"/>
  <c r="AB221" i="5"/>
  <c r="X221" i="5"/>
  <c r="W221" i="5"/>
  <c r="V221" i="5"/>
  <c r="L221" i="5"/>
  <c r="AP220" i="5"/>
  <c r="AL220" i="5"/>
  <c r="AK220" i="5"/>
  <c r="AP219" i="5"/>
  <c r="AL219" i="5"/>
  <c r="AK219" i="5"/>
  <c r="AO219" i="5"/>
  <c r="AQ219" i="5" s="1"/>
  <c r="AP218" i="5"/>
  <c r="AL218" i="5"/>
  <c r="AK218" i="5"/>
  <c r="AP217" i="5"/>
  <c r="AL217" i="5"/>
  <c r="AK217" i="5"/>
  <c r="AP216" i="5"/>
  <c r="AL216" i="5"/>
  <c r="AK216" i="5"/>
  <c r="AP215" i="5"/>
  <c r="AL215" i="5"/>
  <c r="AK215" i="5"/>
  <c r="AO215" i="5"/>
  <c r="AQ215" i="5" s="1"/>
  <c r="AP214" i="5"/>
  <c r="AL214" i="5"/>
  <c r="AK214" i="5"/>
  <c r="AP213" i="5"/>
  <c r="AL213" i="5"/>
  <c r="AK213" i="5"/>
  <c r="AN213" i="5"/>
  <c r="AO213" i="5"/>
  <c r="AQ213" i="5" s="1"/>
  <c r="AP212" i="5"/>
  <c r="AL212" i="5"/>
  <c r="AK212" i="5"/>
  <c r="AN212" i="5"/>
  <c r="AP211" i="5"/>
  <c r="AL211" i="5"/>
  <c r="AK211" i="5"/>
  <c r="AO211" i="5"/>
  <c r="AQ211" i="5" s="1"/>
  <c r="AP210" i="5"/>
  <c r="AL210" i="5"/>
  <c r="AK210" i="5"/>
  <c r="AN210" i="5"/>
  <c r="AP209" i="5"/>
  <c r="AL209" i="5"/>
  <c r="AK209" i="5"/>
  <c r="AN209" i="5"/>
  <c r="AP208" i="5"/>
  <c r="AL208" i="5"/>
  <c r="AK208" i="5"/>
  <c r="AP207" i="5"/>
  <c r="AL207" i="5"/>
  <c r="AK207" i="5"/>
  <c r="AB207" i="5"/>
  <c r="Z207" i="5"/>
  <c r="Y207" i="5"/>
  <c r="W207" i="5"/>
  <c r="S207" i="5"/>
  <c r="R207" i="5"/>
  <c r="L207" i="5"/>
  <c r="K207" i="5"/>
  <c r="AP206" i="5"/>
  <c r="AK206" i="5"/>
  <c r="AB206" i="5"/>
  <c r="AA206" i="5"/>
  <c r="Z206" i="5"/>
  <c r="Y206" i="5"/>
  <c r="X206" i="5"/>
  <c r="V206" i="5"/>
  <c r="U206" i="5"/>
  <c r="S206" i="5"/>
  <c r="R206" i="5"/>
  <c r="Q206" i="5"/>
  <c r="P206" i="5"/>
  <c r="O206" i="5"/>
  <c r="N206" i="5"/>
  <c r="L206" i="5"/>
  <c r="K206" i="5"/>
  <c r="H206" i="5"/>
  <c r="AP205" i="5"/>
  <c r="AL205" i="5"/>
  <c r="AK205" i="5"/>
  <c r="AN205" i="5"/>
  <c r="AP204" i="5"/>
  <c r="AK204" i="5"/>
  <c r="Z204" i="5"/>
  <c r="Y204" i="5"/>
  <c r="X204" i="5"/>
  <c r="W204" i="5"/>
  <c r="V204" i="5"/>
  <c r="U204" i="5"/>
  <c r="T204" i="5"/>
  <c r="R204" i="5"/>
  <c r="Q204" i="5"/>
  <c r="P204" i="5"/>
  <c r="O204" i="5"/>
  <c r="N204" i="5"/>
  <c r="M204" i="5"/>
  <c r="L204" i="5"/>
  <c r="K204" i="5"/>
  <c r="J204" i="5"/>
  <c r="I204" i="5"/>
  <c r="G204" i="5"/>
  <c r="F204" i="5"/>
  <c r="AP203" i="5"/>
  <c r="AN203" i="5"/>
  <c r="AL203" i="5"/>
  <c r="AK203" i="5"/>
  <c r="AO203" i="5"/>
  <c r="AQ203" i="5" s="1"/>
  <c r="AP202" i="5"/>
  <c r="AL202" i="5"/>
  <c r="AK202" i="5"/>
  <c r="AP201" i="5"/>
  <c r="AN201" i="5"/>
  <c r="AL201" i="5"/>
  <c r="AK201" i="5"/>
  <c r="AP200" i="5"/>
  <c r="AL200" i="5"/>
  <c r="AK200" i="5"/>
  <c r="AP199" i="5"/>
  <c r="AK199" i="5"/>
  <c r="X199" i="5"/>
  <c r="W199" i="5"/>
  <c r="U199" i="5"/>
  <c r="T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AP198" i="5"/>
  <c r="AL198" i="5"/>
  <c r="AK198" i="5"/>
  <c r="R198" i="5"/>
  <c r="AP197" i="5"/>
  <c r="AK197" i="5"/>
  <c r="AB197" i="5"/>
  <c r="AA197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AP196" i="5"/>
  <c r="AL196" i="5"/>
  <c r="AK196" i="5"/>
  <c r="AP195" i="5"/>
  <c r="AL195" i="5"/>
  <c r="AK195" i="5"/>
  <c r="AO195" i="5"/>
  <c r="AQ195" i="5" s="1"/>
  <c r="AP194" i="5"/>
  <c r="AL194" i="5"/>
  <c r="AK194" i="5"/>
  <c r="AP193" i="5"/>
  <c r="AK193" i="5"/>
  <c r="AA193" i="5"/>
  <c r="R193" i="5"/>
  <c r="M193" i="5"/>
  <c r="G193" i="5"/>
  <c r="AP192" i="5"/>
  <c r="AL192" i="5"/>
  <c r="AK192" i="5"/>
  <c r="R192" i="5"/>
  <c r="AP191" i="5"/>
  <c r="AN191" i="5"/>
  <c r="AL191" i="5"/>
  <c r="AK191" i="5"/>
  <c r="AO191" i="5"/>
  <c r="AQ191" i="5" s="1"/>
  <c r="AP190" i="5"/>
  <c r="AL190" i="5"/>
  <c r="AK190" i="5"/>
  <c r="AP189" i="5"/>
  <c r="AK189" i="5"/>
  <c r="T189" i="5"/>
  <c r="AL189" i="5" s="1"/>
  <c r="Q189" i="5"/>
  <c r="AP188" i="5"/>
  <c r="AL188" i="5"/>
  <c r="AK188" i="5"/>
  <c r="AP187" i="5"/>
  <c r="AN187" i="5"/>
  <c r="AL187" i="5"/>
  <c r="AK187" i="5"/>
  <c r="AO187" i="5"/>
  <c r="AQ187" i="5" s="1"/>
  <c r="AP186" i="5"/>
  <c r="AL186" i="5"/>
  <c r="AK186" i="5"/>
  <c r="AP185" i="5"/>
  <c r="AN185" i="5"/>
  <c r="AL185" i="5"/>
  <c r="AK185" i="5"/>
  <c r="AO185" i="5"/>
  <c r="AQ185" i="5" s="1"/>
  <c r="AP184" i="5"/>
  <c r="AL184" i="5"/>
  <c r="AK184" i="5"/>
  <c r="AP183" i="5"/>
  <c r="AN183" i="5"/>
  <c r="AL183" i="5"/>
  <c r="AK183" i="5"/>
  <c r="AO183" i="5"/>
  <c r="AQ183" i="5" s="1"/>
  <c r="AP182" i="5"/>
  <c r="AL182" i="5"/>
  <c r="AK182" i="5"/>
  <c r="AP181" i="5"/>
  <c r="AL181" i="5"/>
  <c r="AK181" i="5"/>
  <c r="AN181" i="5"/>
  <c r="AP180" i="5"/>
  <c r="AL180" i="5"/>
  <c r="AK180" i="5"/>
  <c r="AP179" i="5"/>
  <c r="AL179" i="5"/>
  <c r="AK179" i="5"/>
  <c r="AO179" i="5"/>
  <c r="AQ179" i="5" s="1"/>
  <c r="AP178" i="5"/>
  <c r="AL178" i="5"/>
  <c r="AK178" i="5"/>
  <c r="AP177" i="5"/>
  <c r="AL177" i="5"/>
  <c r="AK177" i="5"/>
  <c r="AN177" i="5"/>
  <c r="AP176" i="5"/>
  <c r="AK176" i="5"/>
  <c r="T176" i="5"/>
  <c r="N176" i="5"/>
  <c r="M176" i="5"/>
  <c r="AP175" i="5"/>
  <c r="AK175" i="5"/>
  <c r="M175" i="5"/>
  <c r="G175" i="5"/>
  <c r="AP174" i="5"/>
  <c r="AL174" i="5"/>
  <c r="AK174" i="5"/>
  <c r="AP173" i="5"/>
  <c r="AL173" i="5"/>
  <c r="AK173" i="5"/>
  <c r="AP172" i="5"/>
  <c r="AL172" i="5"/>
  <c r="AK172" i="5"/>
  <c r="AP171" i="5"/>
  <c r="AL171" i="5"/>
  <c r="AK171" i="5"/>
  <c r="AN171" i="5"/>
  <c r="AO171" i="5"/>
  <c r="AQ171" i="5" s="1"/>
  <c r="AP170" i="5"/>
  <c r="AL170" i="5"/>
  <c r="AK170" i="5"/>
  <c r="AP169" i="5"/>
  <c r="AL169" i="5"/>
  <c r="AK169" i="5"/>
  <c r="AP168" i="5"/>
  <c r="AL168" i="5"/>
  <c r="AK168" i="5"/>
  <c r="AP167" i="5"/>
  <c r="AL167" i="5"/>
  <c r="AK167" i="5"/>
  <c r="AN167" i="5"/>
  <c r="AO167" i="5"/>
  <c r="AQ167" i="5" s="1"/>
  <c r="AP166" i="5"/>
  <c r="AL166" i="5"/>
  <c r="AK166" i="5"/>
  <c r="AN166" i="5"/>
  <c r="AP165" i="5"/>
  <c r="AL165" i="5"/>
  <c r="AK165" i="5"/>
  <c r="AA165" i="5"/>
  <c r="T165" i="5"/>
  <c r="AP164" i="5"/>
  <c r="AL164" i="5"/>
  <c r="AK164" i="5"/>
  <c r="AP163" i="5"/>
  <c r="AO163" i="5"/>
  <c r="AQ163" i="5" s="1"/>
  <c r="AL163" i="5"/>
  <c r="AK163" i="5"/>
  <c r="AP162" i="5"/>
  <c r="AL162" i="5"/>
  <c r="AK162" i="5"/>
  <c r="AP161" i="5"/>
  <c r="AL161" i="5"/>
  <c r="AK161" i="5"/>
  <c r="AP160" i="5"/>
  <c r="AL160" i="5"/>
  <c r="AK160" i="5"/>
  <c r="AP159" i="5"/>
  <c r="AL159" i="5"/>
  <c r="AK159" i="5"/>
  <c r="AO159" i="5"/>
  <c r="AQ159" i="5" s="1"/>
  <c r="AP158" i="5"/>
  <c r="AL158" i="5"/>
  <c r="AK158" i="5"/>
  <c r="AP157" i="5"/>
  <c r="AL157" i="5"/>
  <c r="AK157" i="5"/>
  <c r="AP156" i="5"/>
  <c r="AL156" i="5"/>
  <c r="AK156" i="5"/>
  <c r="AP155" i="5"/>
  <c r="AL155" i="5"/>
  <c r="AK155" i="5"/>
  <c r="AO155" i="5"/>
  <c r="AQ155" i="5" s="1"/>
  <c r="AP154" i="5"/>
  <c r="AL154" i="5"/>
  <c r="AK154" i="5"/>
  <c r="AP153" i="5"/>
  <c r="AL153" i="5"/>
  <c r="AK153" i="5"/>
  <c r="AP152" i="5"/>
  <c r="AL152" i="5"/>
  <c r="AK152" i="5"/>
  <c r="AP151" i="5"/>
  <c r="AL151" i="5"/>
  <c r="AK151" i="5"/>
  <c r="AO151" i="5"/>
  <c r="AQ151" i="5" s="1"/>
  <c r="AP150" i="5"/>
  <c r="AL150" i="5"/>
  <c r="AK150" i="5"/>
  <c r="AP149" i="5"/>
  <c r="AL149" i="5"/>
  <c r="AK149" i="5"/>
  <c r="AP148" i="5"/>
  <c r="AL148" i="5"/>
  <c r="AK148" i="5"/>
  <c r="AP147" i="5"/>
  <c r="AL147" i="5"/>
  <c r="AK147" i="5"/>
  <c r="AO147" i="5"/>
  <c r="AQ147" i="5" s="1"/>
  <c r="AP146" i="5"/>
  <c r="AL146" i="5"/>
  <c r="AK146" i="5"/>
  <c r="AO146" i="5"/>
  <c r="AQ146" i="5" s="1"/>
  <c r="AP145" i="5"/>
  <c r="AL145" i="5"/>
  <c r="AK145" i="5"/>
  <c r="AO145" i="5"/>
  <c r="AQ145" i="5" s="1"/>
  <c r="AP144" i="5"/>
  <c r="AL144" i="5"/>
  <c r="AK144" i="5"/>
  <c r="AP143" i="5"/>
  <c r="AL143" i="5"/>
  <c r="AK143" i="5"/>
  <c r="AO143" i="5"/>
  <c r="AQ143" i="5" s="1"/>
  <c r="AP142" i="5"/>
  <c r="AL142" i="5"/>
  <c r="AK142" i="5"/>
  <c r="AP141" i="5"/>
  <c r="AL141" i="5"/>
  <c r="AK141" i="5"/>
  <c r="AP140" i="5"/>
  <c r="AL140" i="5"/>
  <c r="AK140" i="5"/>
  <c r="AP139" i="5"/>
  <c r="AL139" i="5"/>
  <c r="AK139" i="5"/>
  <c r="AO139" i="5"/>
  <c r="AQ139" i="5" s="1"/>
  <c r="AP138" i="5"/>
  <c r="AL138" i="5"/>
  <c r="AK138" i="5"/>
  <c r="AP137" i="5"/>
  <c r="AL137" i="5"/>
  <c r="AK137" i="5"/>
  <c r="AP136" i="5"/>
  <c r="AL136" i="5"/>
  <c r="AK136" i="5"/>
  <c r="AP135" i="5"/>
  <c r="AL135" i="5"/>
  <c r="AK135" i="5"/>
  <c r="AO135" i="5"/>
  <c r="AQ135" i="5" s="1"/>
  <c r="AP134" i="5"/>
  <c r="AL134" i="5"/>
  <c r="AK134" i="5"/>
  <c r="AP133" i="5"/>
  <c r="AL133" i="5"/>
  <c r="AK133" i="5"/>
  <c r="AP132" i="5"/>
  <c r="AN132" i="5"/>
  <c r="AL132" i="5"/>
  <c r="AK132" i="5"/>
  <c r="AP131" i="5"/>
  <c r="AL131" i="5"/>
  <c r="AK131" i="5"/>
  <c r="AO131" i="5"/>
  <c r="AQ131" i="5" s="1"/>
  <c r="AP130" i="5"/>
  <c r="AL130" i="5"/>
  <c r="AK130" i="5"/>
  <c r="AP129" i="5"/>
  <c r="AL129" i="5"/>
  <c r="AK129" i="5"/>
  <c r="AP128" i="5"/>
  <c r="AL128" i="5"/>
  <c r="AK128" i="5"/>
  <c r="AP127" i="5"/>
  <c r="AK127" i="5"/>
  <c r="Z127" i="5"/>
  <c r="M127" i="5"/>
  <c r="AP126" i="5"/>
  <c r="AL126" i="5"/>
  <c r="AK126" i="5"/>
  <c r="AP125" i="5"/>
  <c r="AN125" i="5"/>
  <c r="AL125" i="5"/>
  <c r="AK125" i="5"/>
  <c r="AP124" i="5"/>
  <c r="AL124" i="5"/>
  <c r="AK124" i="5"/>
  <c r="AP123" i="5"/>
  <c r="AN123" i="5"/>
  <c r="AL123" i="5"/>
  <c r="AK123" i="5"/>
  <c r="AO123" i="5"/>
  <c r="AQ123" i="5" s="1"/>
  <c r="AP122" i="5"/>
  <c r="AL122" i="5"/>
  <c r="AK122" i="5"/>
  <c r="AP121" i="5"/>
  <c r="AL121" i="5"/>
  <c r="AK121" i="5"/>
  <c r="AP120" i="5"/>
  <c r="AL120" i="5"/>
  <c r="AK120" i="5"/>
  <c r="AP119" i="5"/>
  <c r="AL119" i="5"/>
  <c r="AK119" i="5"/>
  <c r="AO119" i="5"/>
  <c r="AQ119" i="5" s="1"/>
  <c r="AP118" i="5"/>
  <c r="AL118" i="5"/>
  <c r="AK118" i="5"/>
  <c r="AP117" i="5"/>
  <c r="AL117" i="5"/>
  <c r="AK117" i="5"/>
  <c r="AP116" i="5"/>
  <c r="AL116" i="5"/>
  <c r="AK116" i="5"/>
  <c r="AP115" i="5"/>
  <c r="AL115" i="5"/>
  <c r="AK115" i="5"/>
  <c r="AO115" i="5"/>
  <c r="AQ115" i="5" s="1"/>
  <c r="AP114" i="5"/>
  <c r="AL114" i="5"/>
  <c r="AK114" i="5"/>
  <c r="AP113" i="5"/>
  <c r="AK113" i="5"/>
  <c r="AB113" i="5"/>
  <c r="X113" i="5"/>
  <c r="Q113" i="5"/>
  <c r="O113" i="5"/>
  <c r="AP112" i="5"/>
  <c r="AL112" i="5"/>
  <c r="AK112" i="5"/>
  <c r="AP111" i="5"/>
  <c r="AL111" i="5"/>
  <c r="AK111" i="5"/>
  <c r="AA111" i="5"/>
  <c r="U111" i="5"/>
  <c r="AN111" i="5" s="1"/>
  <c r="AP110" i="5"/>
  <c r="AL110" i="5"/>
  <c r="AK110" i="5"/>
  <c r="AP109" i="5"/>
  <c r="AL109" i="5"/>
  <c r="AK109" i="5"/>
  <c r="AN109" i="5"/>
  <c r="AP108" i="5"/>
  <c r="AL108" i="5"/>
  <c r="AK108" i="5"/>
  <c r="AP107" i="5"/>
  <c r="AL107" i="5"/>
  <c r="AK107" i="5"/>
  <c r="AN107" i="5"/>
  <c r="AP106" i="5"/>
  <c r="AL106" i="5"/>
  <c r="AK106" i="5"/>
  <c r="AP105" i="5"/>
  <c r="AL105" i="5"/>
  <c r="AK105" i="5"/>
  <c r="AN105" i="5"/>
  <c r="AP104" i="5"/>
  <c r="AL104" i="5"/>
  <c r="AK104" i="5"/>
  <c r="AO104" i="5"/>
  <c r="AQ104" i="5" s="1"/>
  <c r="AP103" i="5"/>
  <c r="AK103" i="5"/>
  <c r="AB103" i="5"/>
  <c r="AA103" i="5"/>
  <c r="Z103" i="5"/>
  <c r="Y103" i="5"/>
  <c r="X103" i="5"/>
  <c r="W103" i="5"/>
  <c r="V103" i="5"/>
  <c r="U103" i="5"/>
  <c r="T103" i="5"/>
  <c r="S103" i="5"/>
  <c r="R103" i="5"/>
  <c r="P103" i="5"/>
  <c r="O103" i="5"/>
  <c r="N103" i="5"/>
  <c r="M103" i="5"/>
  <c r="L103" i="5"/>
  <c r="K103" i="5"/>
  <c r="J103" i="5"/>
  <c r="I103" i="5"/>
  <c r="H103" i="5"/>
  <c r="G103" i="5"/>
  <c r="AL103" i="5" s="1"/>
  <c r="AP102" i="5"/>
  <c r="AL102" i="5"/>
  <c r="AK102" i="5"/>
  <c r="AO102" i="5"/>
  <c r="AQ102" i="5" s="1"/>
  <c r="AP101" i="5"/>
  <c r="AK101" i="5"/>
  <c r="AA101" i="5"/>
  <c r="R101" i="5"/>
  <c r="O101" i="5"/>
  <c r="M101" i="5"/>
  <c r="L101" i="5"/>
  <c r="AP100" i="5"/>
  <c r="AL100" i="5"/>
  <c r="AK100" i="5"/>
  <c r="AP99" i="5"/>
  <c r="AL99" i="5"/>
  <c r="AK99" i="5"/>
  <c r="AN99" i="5"/>
  <c r="AO99" i="5"/>
  <c r="AQ99" i="5" s="1"/>
  <c r="AP98" i="5"/>
  <c r="AL98" i="5"/>
  <c r="AK98" i="5"/>
  <c r="AP97" i="5"/>
  <c r="AL97" i="5"/>
  <c r="AK97" i="5"/>
  <c r="AN97" i="5"/>
  <c r="AO97" i="5"/>
  <c r="AQ97" i="5" s="1"/>
  <c r="AP96" i="5"/>
  <c r="AL96" i="5"/>
  <c r="AK96" i="5"/>
  <c r="AN96" i="5"/>
  <c r="AP95" i="5"/>
  <c r="AL95" i="5"/>
  <c r="AK95" i="5"/>
  <c r="AN95" i="5"/>
  <c r="AO95" i="5"/>
  <c r="AQ95" i="5" s="1"/>
  <c r="AP94" i="5"/>
  <c r="AL94" i="5"/>
  <c r="AK94" i="5"/>
  <c r="AP93" i="5"/>
  <c r="AL93" i="5"/>
  <c r="AK93" i="5"/>
  <c r="AN93" i="5"/>
  <c r="AP92" i="5"/>
  <c r="AK92" i="5"/>
  <c r="AB92" i="5"/>
  <c r="AA92" i="5"/>
  <c r="Y92" i="5"/>
  <c r="T92" i="5"/>
  <c r="AL92" i="5" s="1"/>
  <c r="AP91" i="5"/>
  <c r="AK91" i="5"/>
  <c r="V91" i="5"/>
  <c r="U91" i="5"/>
  <c r="P91" i="5"/>
  <c r="AP90" i="5"/>
  <c r="AL90" i="5"/>
  <c r="AK90" i="5"/>
  <c r="AP89" i="5"/>
  <c r="AL89" i="5"/>
  <c r="AK89" i="5"/>
  <c r="AN89" i="5"/>
  <c r="AP88" i="5"/>
  <c r="AL88" i="5"/>
  <c r="AK88" i="5"/>
  <c r="AP87" i="5"/>
  <c r="AL87" i="5"/>
  <c r="AK87" i="5"/>
  <c r="AN87" i="5"/>
  <c r="AP86" i="5"/>
  <c r="AL86" i="5"/>
  <c r="AK86" i="5"/>
  <c r="T86" i="5"/>
  <c r="AP85" i="5"/>
  <c r="AL85" i="5"/>
  <c r="AK85" i="5"/>
  <c r="AP84" i="5"/>
  <c r="AL84" i="5"/>
  <c r="AK84" i="5"/>
  <c r="AP83" i="5"/>
  <c r="AL83" i="5"/>
  <c r="AK83" i="5"/>
  <c r="AO83" i="5"/>
  <c r="AQ83" i="5" s="1"/>
  <c r="AP82" i="5"/>
  <c r="AL82" i="5"/>
  <c r="AK82" i="5"/>
  <c r="AP81" i="5"/>
  <c r="AL81" i="5"/>
  <c r="AK81" i="5"/>
  <c r="AP80" i="5"/>
  <c r="AL80" i="5"/>
  <c r="AK80" i="5"/>
  <c r="AP79" i="5"/>
  <c r="AL79" i="5"/>
  <c r="AK79" i="5"/>
  <c r="AO79" i="5"/>
  <c r="AQ79" i="5" s="1"/>
  <c r="AP78" i="5"/>
  <c r="AL78" i="5"/>
  <c r="AK78" i="5"/>
  <c r="AP77" i="5"/>
  <c r="AL77" i="5"/>
  <c r="AK77" i="5"/>
  <c r="AP76" i="5"/>
  <c r="AL76" i="5"/>
  <c r="AK76" i="5"/>
  <c r="AP75" i="5"/>
  <c r="AL75" i="5"/>
  <c r="AK75" i="5"/>
  <c r="AO75" i="5"/>
  <c r="AQ75" i="5" s="1"/>
  <c r="AP74" i="5"/>
  <c r="AL74" i="5"/>
  <c r="AK74" i="5"/>
  <c r="AA74" i="5"/>
  <c r="J74" i="5"/>
  <c r="AP73" i="5"/>
  <c r="AL73" i="5"/>
  <c r="AK73" i="5"/>
  <c r="Y73" i="5"/>
  <c r="M73" i="5"/>
  <c r="AN73" i="5" s="1"/>
  <c r="AP72" i="5"/>
  <c r="AN72" i="5"/>
  <c r="AL72" i="5"/>
  <c r="AK72" i="5"/>
  <c r="AP71" i="5"/>
  <c r="AL71" i="5"/>
  <c r="AK71" i="5"/>
  <c r="AO71" i="5"/>
  <c r="AQ71" i="5" s="1"/>
  <c r="AP70" i="5"/>
  <c r="AN70" i="5"/>
  <c r="AL70" i="5"/>
  <c r="AK70" i="5"/>
  <c r="AP69" i="5"/>
  <c r="AL69" i="5"/>
  <c r="AK69" i="5"/>
  <c r="AP68" i="5"/>
  <c r="AL68" i="5"/>
  <c r="AK68" i="5"/>
  <c r="AP67" i="5"/>
  <c r="AK67" i="5"/>
  <c r="AB67" i="5"/>
  <c r="AA67" i="5"/>
  <c r="Z67" i="5"/>
  <c r="X67" i="5"/>
  <c r="W67" i="5"/>
  <c r="V67" i="5"/>
  <c r="U67" i="5"/>
  <c r="T67" i="5"/>
  <c r="S67" i="5"/>
  <c r="R67" i="5"/>
  <c r="Q67" i="5"/>
  <c r="P67" i="5"/>
  <c r="O67" i="5"/>
  <c r="N67" i="5"/>
  <c r="M67" i="5"/>
  <c r="K67" i="5"/>
  <c r="I67" i="5"/>
  <c r="H67" i="5"/>
  <c r="G67" i="5"/>
  <c r="AP66" i="5"/>
  <c r="AL66" i="5"/>
  <c r="AK66" i="5"/>
  <c r="AP65" i="5"/>
  <c r="AL65" i="5"/>
  <c r="AK65" i="5"/>
  <c r="AN65" i="5"/>
  <c r="AP64" i="5"/>
  <c r="AL64" i="5"/>
  <c r="AK64" i="5"/>
  <c r="AP63" i="5"/>
  <c r="AO63" i="5"/>
  <c r="AQ63" i="5" s="1"/>
  <c r="AL63" i="5"/>
  <c r="AK63" i="5"/>
  <c r="AN63" i="5"/>
  <c r="AP62" i="5"/>
  <c r="AL62" i="5"/>
  <c r="AK62" i="5"/>
  <c r="AP61" i="5"/>
  <c r="AN61" i="5"/>
  <c r="AL61" i="5"/>
  <c r="AK61" i="5"/>
  <c r="AP60" i="5"/>
  <c r="AL60" i="5"/>
  <c r="AK60" i="5"/>
  <c r="U60" i="5"/>
  <c r="R60" i="5"/>
  <c r="AP59" i="5"/>
  <c r="AL59" i="5"/>
  <c r="AK59" i="5"/>
  <c r="AP58" i="5"/>
  <c r="AK58" i="5"/>
  <c r="W58" i="5"/>
  <c r="T58" i="5"/>
  <c r="AP57" i="5"/>
  <c r="AN57" i="5"/>
  <c r="AL57" i="5"/>
  <c r="AK57" i="5"/>
  <c r="AP56" i="5"/>
  <c r="AL56" i="5"/>
  <c r="AK56" i="5"/>
  <c r="Z56" i="5"/>
  <c r="O56" i="5"/>
  <c r="AP55" i="5"/>
  <c r="AK55" i="5"/>
  <c r="AA55" i="5"/>
  <c r="Z55" i="5"/>
  <c r="V55" i="5"/>
  <c r="T55" i="5"/>
  <c r="P55" i="5"/>
  <c r="O55" i="5"/>
  <c r="L55" i="5"/>
  <c r="K55" i="5"/>
  <c r="G55" i="5"/>
  <c r="AP54" i="5"/>
  <c r="AL54" i="5"/>
  <c r="AK54" i="5"/>
  <c r="AP53" i="5"/>
  <c r="AN53" i="5"/>
  <c r="AL53" i="5"/>
  <c r="AK53" i="5"/>
  <c r="AP52" i="5"/>
  <c r="AO52" i="5"/>
  <c r="AQ52" i="5" s="1"/>
  <c r="AL52" i="5"/>
  <c r="AK52" i="5"/>
  <c r="AP51" i="5"/>
  <c r="AN51" i="5"/>
  <c r="AL51" i="5"/>
  <c r="AK51" i="5"/>
  <c r="AP50" i="5"/>
  <c r="AO50" i="5"/>
  <c r="AQ50" i="5" s="1"/>
  <c r="AL50" i="5"/>
  <c r="AK50" i="5"/>
  <c r="AP49" i="5"/>
  <c r="AN49" i="5"/>
  <c r="AL49" i="5"/>
  <c r="AK49" i="5"/>
  <c r="AP48" i="5"/>
  <c r="AL48" i="5"/>
  <c r="AK48" i="5"/>
  <c r="AP47" i="5"/>
  <c r="AN47" i="5"/>
  <c r="AL47" i="5"/>
  <c r="AK47" i="5"/>
  <c r="AP46" i="5"/>
  <c r="AK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AP45" i="5"/>
  <c r="AL45" i="5"/>
  <c r="AK45" i="5"/>
  <c r="AA45" i="5"/>
  <c r="Y45" i="5"/>
  <c r="X45" i="5"/>
  <c r="U45" i="5"/>
  <c r="T45" i="5"/>
  <c r="R45" i="5"/>
  <c r="N45" i="5"/>
  <c r="M45" i="5"/>
  <c r="J45" i="5"/>
  <c r="G45" i="5"/>
  <c r="AP44" i="5"/>
  <c r="AK44" i="5"/>
  <c r="AA44" i="5"/>
  <c r="Z44" i="5"/>
  <c r="Y44" i="5"/>
  <c r="X44" i="5"/>
  <c r="V44" i="5"/>
  <c r="T44" i="5"/>
  <c r="R44" i="5"/>
  <c r="N44" i="5"/>
  <c r="M44" i="5"/>
  <c r="L44" i="5"/>
  <c r="K44" i="5"/>
  <c r="H44" i="5"/>
  <c r="H3" i="5" s="1"/>
  <c r="G44" i="5"/>
  <c r="AP43" i="5"/>
  <c r="AK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AP42" i="5"/>
  <c r="AK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H42" i="5"/>
  <c r="G42" i="5"/>
  <c r="F42" i="5"/>
  <c r="AP41" i="5"/>
  <c r="AL41" i="5"/>
  <c r="AK41" i="5"/>
  <c r="AN41" i="5"/>
  <c r="AP40" i="5"/>
  <c r="AK40" i="5"/>
  <c r="AA40" i="5"/>
  <c r="Z40" i="5"/>
  <c r="Y40" i="5"/>
  <c r="X40" i="5"/>
  <c r="W40" i="5"/>
  <c r="V40" i="5"/>
  <c r="U40" i="5"/>
  <c r="T40" i="5"/>
  <c r="S40" i="5"/>
  <c r="R40" i="5"/>
  <c r="O40" i="5"/>
  <c r="N40" i="5"/>
  <c r="M40" i="5"/>
  <c r="L40" i="5"/>
  <c r="L3" i="5" s="1"/>
  <c r="K40" i="5"/>
  <c r="J40" i="5"/>
  <c r="G40" i="5"/>
  <c r="F40" i="5"/>
  <c r="AP39" i="5"/>
  <c r="AK39" i="5"/>
  <c r="AA39" i="5"/>
  <c r="Z39" i="5"/>
  <c r="Z3" i="5" s="1"/>
  <c r="Y39" i="5"/>
  <c r="X39" i="5"/>
  <c r="W39" i="5"/>
  <c r="V39" i="5"/>
  <c r="T39" i="5"/>
  <c r="R39" i="5"/>
  <c r="P39" i="5"/>
  <c r="O39" i="5"/>
  <c r="N39" i="5"/>
  <c r="M39" i="5"/>
  <c r="L39" i="5"/>
  <c r="K39" i="5"/>
  <c r="J39" i="5"/>
  <c r="G39" i="5"/>
  <c r="AL39" i="5" s="1"/>
  <c r="F39" i="5"/>
  <c r="AP38" i="5"/>
  <c r="AK38" i="5"/>
  <c r="X38" i="5"/>
  <c r="U38" i="5"/>
  <c r="R38" i="5"/>
  <c r="G38" i="5"/>
  <c r="AL38" i="5" s="1"/>
  <c r="F38" i="5"/>
  <c r="AP37" i="5"/>
  <c r="AL37" i="5"/>
  <c r="AK37" i="5"/>
  <c r="AN37" i="5"/>
  <c r="AP36" i="5"/>
  <c r="AL36" i="5"/>
  <c r="AK36" i="5"/>
  <c r="U36" i="5"/>
  <c r="AP35" i="5"/>
  <c r="AK35" i="5"/>
  <c r="Z35" i="5"/>
  <c r="T35" i="5"/>
  <c r="G35" i="5"/>
  <c r="AL35" i="5" s="1"/>
  <c r="AP34" i="5"/>
  <c r="AK34" i="5"/>
  <c r="Z34" i="5"/>
  <c r="U34" i="5"/>
  <c r="T34" i="5"/>
  <c r="R34" i="5"/>
  <c r="P34" i="5"/>
  <c r="N34" i="5"/>
  <c r="L34" i="5"/>
  <c r="K34" i="5"/>
  <c r="G34" i="5"/>
  <c r="F34" i="5"/>
  <c r="AP33" i="5"/>
  <c r="AL33" i="5"/>
  <c r="AK33" i="5"/>
  <c r="AN33" i="5"/>
  <c r="AP32" i="5"/>
  <c r="AL32" i="5"/>
  <c r="AK32" i="5"/>
  <c r="AO32" i="5"/>
  <c r="AQ32" i="5" s="1"/>
  <c r="AP31" i="5"/>
  <c r="AL31" i="5"/>
  <c r="AK31" i="5"/>
  <c r="AN31" i="5"/>
  <c r="AP30" i="5"/>
  <c r="AL30" i="5"/>
  <c r="AK30" i="5"/>
  <c r="AN30" i="5"/>
  <c r="AP29" i="5"/>
  <c r="AL29" i="5"/>
  <c r="AK29" i="5"/>
  <c r="AN29" i="5"/>
  <c r="AP28" i="5"/>
  <c r="AL28" i="5"/>
  <c r="AK28" i="5"/>
  <c r="AP27" i="5"/>
  <c r="AL27" i="5"/>
  <c r="AK27" i="5"/>
  <c r="AN27" i="5"/>
  <c r="AP26" i="5"/>
  <c r="AL26" i="5"/>
  <c r="AK26" i="5"/>
  <c r="X26" i="5"/>
  <c r="L26" i="5"/>
  <c r="K26" i="5"/>
  <c r="AP25" i="5"/>
  <c r="AN25" i="5"/>
  <c r="AL25" i="5"/>
  <c r="AK25" i="5"/>
  <c r="AO25" i="5"/>
  <c r="AQ25" i="5" s="1"/>
  <c r="AP24" i="5"/>
  <c r="AK24" i="5"/>
  <c r="AA24" i="5"/>
  <c r="Y24" i="5"/>
  <c r="X24" i="5"/>
  <c r="S24" i="5"/>
  <c r="R24" i="5"/>
  <c r="R3" i="5" s="1"/>
  <c r="P24" i="5"/>
  <c r="O24" i="5"/>
  <c r="M24" i="5"/>
  <c r="G24" i="5"/>
  <c r="F24" i="5"/>
  <c r="AP23" i="5"/>
  <c r="AL23" i="5"/>
  <c r="AK23" i="5"/>
  <c r="AN23" i="5"/>
  <c r="AO23" i="5"/>
  <c r="AQ23" i="5" s="1"/>
  <c r="AP22" i="5"/>
  <c r="AL22" i="5"/>
  <c r="AK22" i="5"/>
  <c r="AP21" i="5"/>
  <c r="AK21" i="5"/>
  <c r="AA21" i="5"/>
  <c r="R21" i="5"/>
  <c r="Q21" i="5"/>
  <c r="O21" i="5"/>
  <c r="N21" i="5"/>
  <c r="G21" i="5"/>
  <c r="F21" i="5"/>
  <c r="AP20" i="5"/>
  <c r="AL20" i="5"/>
  <c r="AK20" i="5"/>
  <c r="AP19" i="5"/>
  <c r="AL19" i="5"/>
  <c r="AK19" i="5"/>
  <c r="AN19" i="5"/>
  <c r="AP18" i="5"/>
  <c r="AL18" i="5"/>
  <c r="AK18" i="5"/>
  <c r="AP17" i="5"/>
  <c r="AL17" i="5"/>
  <c r="AK17" i="5"/>
  <c r="AN17" i="5"/>
  <c r="AP16" i="5"/>
  <c r="AL16" i="5"/>
  <c r="AK16" i="5"/>
  <c r="AP15" i="5"/>
  <c r="AL15" i="5"/>
  <c r="AK15" i="5"/>
  <c r="AN15" i="5"/>
  <c r="AP14" i="5"/>
  <c r="AL14" i="5"/>
  <c r="AK14" i="5"/>
  <c r="AP13" i="5"/>
  <c r="AL13" i="5"/>
  <c r="AK13" i="5"/>
  <c r="AN13" i="5"/>
  <c r="AP12" i="5"/>
  <c r="AL12" i="5"/>
  <c r="AK12" i="5"/>
  <c r="AP11" i="5"/>
  <c r="AL11" i="5"/>
  <c r="AK11" i="5"/>
  <c r="AN11" i="5"/>
  <c r="AA11" i="5"/>
  <c r="AP10" i="5"/>
  <c r="AL10" i="5"/>
  <c r="AK10" i="5"/>
  <c r="AP9" i="5"/>
  <c r="AN9" i="5"/>
  <c r="AL9" i="5"/>
  <c r="AK9" i="5"/>
  <c r="AP8" i="5"/>
  <c r="AL8" i="5"/>
  <c r="AK8" i="5"/>
  <c r="AP7" i="5"/>
  <c r="AK7" i="5"/>
  <c r="N7" i="5"/>
  <c r="AP6" i="5"/>
  <c r="AK6" i="5"/>
  <c r="AB6" i="5"/>
  <c r="AA6" i="5"/>
  <c r="AA3" i="5" s="1"/>
  <c r="Z6" i="5"/>
  <c r="Y6" i="5"/>
  <c r="X6" i="5"/>
  <c r="W6" i="5"/>
  <c r="W3" i="5" s="1"/>
  <c r="V6" i="5"/>
  <c r="U6" i="5"/>
  <c r="T6" i="5"/>
  <c r="S6" i="5"/>
  <c r="S3" i="5" s="1"/>
  <c r="R6" i="5"/>
  <c r="Q6" i="5"/>
  <c r="P6" i="5"/>
  <c r="O6" i="5"/>
  <c r="N6" i="5"/>
  <c r="M6" i="5"/>
  <c r="L6" i="5"/>
  <c r="K6" i="5"/>
  <c r="K3" i="5" s="1"/>
  <c r="J6" i="5"/>
  <c r="I6" i="5"/>
  <c r="H6" i="5"/>
  <c r="G6" i="5"/>
  <c r="AL6" i="5" s="1"/>
  <c r="F6" i="5"/>
  <c r="AP5" i="5"/>
  <c r="AN5" i="5"/>
  <c r="AL5" i="5"/>
  <c r="AK5" i="5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1" i="5" s="1"/>
  <c r="AP4" i="5"/>
  <c r="AK4" i="5"/>
  <c r="AA4" i="5"/>
  <c r="Z4" i="5"/>
  <c r="X4" i="5"/>
  <c r="X3" i="5" s="1"/>
  <c r="V4" i="5"/>
  <c r="V3" i="5" s="1"/>
  <c r="T4" i="5"/>
  <c r="T3" i="5" s="1"/>
  <c r="R4" i="5"/>
  <c r="O4" i="5"/>
  <c r="O3" i="5" s="1"/>
  <c r="N4" i="5"/>
  <c r="N3" i="5" s="1"/>
  <c r="M4" i="5"/>
  <c r="AL4" i="5" s="1"/>
  <c r="L4" i="5"/>
  <c r="AC3" i="5"/>
  <c r="AB3" i="5"/>
  <c r="Y3" i="5"/>
  <c r="U3" i="5"/>
  <c r="Q3" i="5"/>
  <c r="P3" i="5"/>
  <c r="M3" i="5"/>
  <c r="I3" i="5"/>
  <c r="AL391" i="1"/>
  <c r="AL390" i="1"/>
  <c r="AL389" i="1"/>
  <c r="AL387" i="1"/>
  <c r="AL385" i="1"/>
  <c r="AL384" i="1"/>
  <c r="AL383" i="1"/>
  <c r="AL382" i="1"/>
  <c r="AL380" i="1"/>
  <c r="AL379" i="1"/>
  <c r="AL378" i="1"/>
  <c r="AL377" i="1"/>
  <c r="AL375" i="1"/>
  <c r="AL374" i="1"/>
  <c r="AL373" i="1"/>
  <c r="AL372" i="1"/>
  <c r="AL371" i="1"/>
  <c r="AL370" i="1"/>
  <c r="AL367" i="1"/>
  <c r="AL366" i="1"/>
  <c r="AL365" i="1"/>
  <c r="AL362" i="1"/>
  <c r="AL361" i="1"/>
  <c r="AL360" i="1"/>
  <c r="AL358" i="1"/>
  <c r="AL357" i="1"/>
  <c r="AL355" i="1"/>
  <c r="AL354" i="1"/>
  <c r="AL353" i="1"/>
  <c r="AL352" i="1"/>
  <c r="AL351" i="1"/>
  <c r="AL349" i="1"/>
  <c r="AL348" i="1"/>
  <c r="AL347" i="1"/>
  <c r="AL346" i="1"/>
  <c r="AL345" i="1"/>
  <c r="AL344" i="1"/>
  <c r="AL343" i="1"/>
  <c r="AL342" i="1"/>
  <c r="AL341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89" i="1"/>
  <c r="AL288" i="1"/>
  <c r="AL287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7" i="1"/>
  <c r="AL266" i="1"/>
  <c r="AL263" i="1"/>
  <c r="AL262" i="1"/>
  <c r="AL260" i="1"/>
  <c r="AL259" i="1"/>
  <c r="AL258" i="1"/>
  <c r="AL257" i="1"/>
  <c r="AL256" i="1"/>
  <c r="AL254" i="1"/>
  <c r="AL253" i="1"/>
  <c r="AL252" i="1"/>
  <c r="AL251" i="1"/>
  <c r="AL250" i="1"/>
  <c r="AL249" i="1"/>
  <c r="AL248" i="1"/>
  <c r="AL247" i="1"/>
  <c r="AL246" i="1"/>
  <c r="AL245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5" i="1"/>
  <c r="AL203" i="1"/>
  <c r="AL202" i="1"/>
  <c r="AL201" i="1"/>
  <c r="AL200" i="1"/>
  <c r="AL196" i="1"/>
  <c r="AL195" i="1"/>
  <c r="AL194" i="1"/>
  <c r="AL191" i="1"/>
  <c r="AL190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4" i="1"/>
  <c r="AL173" i="1"/>
  <c r="AL172" i="1"/>
  <c r="AL171" i="1"/>
  <c r="AL170" i="1"/>
  <c r="AL169" i="1"/>
  <c r="AL168" i="1"/>
  <c r="AL167" i="1"/>
  <c r="AL166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2" i="1"/>
  <c r="AL110" i="1"/>
  <c r="AL109" i="1"/>
  <c r="AL108" i="1"/>
  <c r="AL107" i="1"/>
  <c r="AL106" i="1"/>
  <c r="AL105" i="1"/>
  <c r="AL104" i="1"/>
  <c r="AL102" i="1"/>
  <c r="AL100" i="1"/>
  <c r="AL99" i="1"/>
  <c r="AL98" i="1"/>
  <c r="AL97" i="1"/>
  <c r="AL96" i="1"/>
  <c r="AL95" i="1"/>
  <c r="AL94" i="1"/>
  <c r="AL93" i="1"/>
  <c r="AL90" i="1"/>
  <c r="AL89" i="1"/>
  <c r="AL88" i="1"/>
  <c r="AL87" i="1"/>
  <c r="AL85" i="1"/>
  <c r="AL84" i="1"/>
  <c r="AL83" i="1"/>
  <c r="AL82" i="1"/>
  <c r="AL81" i="1"/>
  <c r="AL80" i="1"/>
  <c r="AL79" i="1"/>
  <c r="AL78" i="1"/>
  <c r="AL77" i="1"/>
  <c r="AL76" i="1"/>
  <c r="AL75" i="1"/>
  <c r="AL72" i="1"/>
  <c r="AL71" i="1"/>
  <c r="AL70" i="1"/>
  <c r="AL69" i="1"/>
  <c r="AL68" i="1"/>
  <c r="AL66" i="1"/>
  <c r="AL65" i="1"/>
  <c r="AL64" i="1"/>
  <c r="AL63" i="1"/>
  <c r="AL62" i="1"/>
  <c r="AL61" i="1"/>
  <c r="AL59" i="1"/>
  <c r="AL57" i="1"/>
  <c r="AL54" i="1"/>
  <c r="AL53" i="1"/>
  <c r="AL52" i="1"/>
  <c r="AL51" i="1"/>
  <c r="AL50" i="1"/>
  <c r="AL49" i="1"/>
  <c r="AL48" i="1"/>
  <c r="AL47" i="1"/>
  <c r="AL41" i="1"/>
  <c r="AL37" i="1"/>
  <c r="AL33" i="1"/>
  <c r="AL32" i="1"/>
  <c r="AL31" i="1"/>
  <c r="AL30" i="1"/>
  <c r="AL29" i="1"/>
  <c r="AL28" i="1"/>
  <c r="AL27" i="1"/>
  <c r="AL25" i="1"/>
  <c r="AL23" i="1"/>
  <c r="AL22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5" i="1"/>
  <c r="AO80" i="5" l="1"/>
  <c r="AQ80" i="5" s="1"/>
  <c r="AN80" i="5"/>
  <c r="AN90" i="5"/>
  <c r="AO90" i="5"/>
  <c r="AQ90" i="5" s="1"/>
  <c r="AO134" i="5"/>
  <c r="AQ134" i="5" s="1"/>
  <c r="AN134" i="5"/>
  <c r="AO136" i="5"/>
  <c r="AQ136" i="5" s="1"/>
  <c r="AN136" i="5"/>
  <c r="AN150" i="5"/>
  <c r="AO150" i="5"/>
  <c r="AQ150" i="5" s="1"/>
  <c r="AO152" i="5"/>
  <c r="AQ152" i="5" s="1"/>
  <c r="AN152" i="5"/>
  <c r="AO190" i="5"/>
  <c r="AQ190" i="5" s="1"/>
  <c r="AN190" i="5"/>
  <c r="AN198" i="5"/>
  <c r="AO198" i="5"/>
  <c r="AQ198" i="5" s="1"/>
  <c r="AO200" i="5"/>
  <c r="AQ200" i="5" s="1"/>
  <c r="AN200" i="5"/>
  <c r="AN238" i="5"/>
  <c r="AO238" i="5"/>
  <c r="AQ238" i="5" s="1"/>
  <c r="AN246" i="5"/>
  <c r="AO246" i="5"/>
  <c r="AQ246" i="5" s="1"/>
  <c r="AO316" i="5"/>
  <c r="AQ316" i="5" s="1"/>
  <c r="AN316" i="5"/>
  <c r="AN352" i="5"/>
  <c r="AO352" i="5"/>
  <c r="AQ352" i="5" s="1"/>
  <c r="AO362" i="5"/>
  <c r="AQ362" i="5" s="1"/>
  <c r="AN362" i="5"/>
  <c r="AO12" i="5"/>
  <c r="AQ12" i="5" s="1"/>
  <c r="AN18" i="5"/>
  <c r="AO20" i="5"/>
  <c r="AQ20" i="5" s="1"/>
  <c r="AN22" i="5"/>
  <c r="AN48" i="5"/>
  <c r="AN68" i="5"/>
  <c r="AN140" i="5"/>
  <c r="AO154" i="5"/>
  <c r="AQ154" i="5" s="1"/>
  <c r="AO202" i="5"/>
  <c r="AQ202" i="5" s="1"/>
  <c r="AN326" i="5"/>
  <c r="AO334" i="5"/>
  <c r="AQ334" i="5" s="1"/>
  <c r="AN54" i="5"/>
  <c r="AO54" i="5"/>
  <c r="AQ54" i="5" s="1"/>
  <c r="AO128" i="5"/>
  <c r="AQ128" i="5" s="1"/>
  <c r="AN128" i="5"/>
  <c r="AO158" i="5"/>
  <c r="AQ158" i="5" s="1"/>
  <c r="AN158" i="5"/>
  <c r="AO174" i="5"/>
  <c r="AQ174" i="5" s="1"/>
  <c r="AN174" i="5"/>
  <c r="AO184" i="5"/>
  <c r="AQ184" i="5" s="1"/>
  <c r="AN184" i="5"/>
  <c r="AO322" i="5"/>
  <c r="AQ322" i="5" s="1"/>
  <c r="AN322" i="5"/>
  <c r="AN338" i="5"/>
  <c r="AO338" i="5"/>
  <c r="AQ338" i="5" s="1"/>
  <c r="AN342" i="5"/>
  <c r="AO342" i="5"/>
  <c r="AQ342" i="5" s="1"/>
  <c r="AN344" i="5"/>
  <c r="AO344" i="5"/>
  <c r="AQ344" i="5" s="1"/>
  <c r="AN10" i="5"/>
  <c r="AO14" i="5"/>
  <c r="AQ14" i="5" s="1"/>
  <c r="AO84" i="5"/>
  <c r="AQ84" i="5" s="1"/>
  <c r="AN86" i="5"/>
  <c r="AO88" i="5"/>
  <c r="AQ88" i="5" s="1"/>
  <c r="AO130" i="5"/>
  <c r="AQ130" i="5" s="1"/>
  <c r="AN148" i="5"/>
  <c r="AO250" i="5"/>
  <c r="AQ250" i="5" s="1"/>
  <c r="AN262" i="5"/>
  <c r="AO272" i="5"/>
  <c r="AQ272" i="5" s="1"/>
  <c r="AN276" i="5"/>
  <c r="AO330" i="5"/>
  <c r="AQ330" i="5" s="1"/>
  <c r="AN356" i="5"/>
  <c r="AN382" i="5"/>
  <c r="AN16" i="5"/>
  <c r="AO16" i="5"/>
  <c r="AQ16" i="5" s="1"/>
  <c r="AO142" i="5"/>
  <c r="AQ142" i="5" s="1"/>
  <c r="AN142" i="5"/>
  <c r="AO144" i="5"/>
  <c r="AQ144" i="5" s="1"/>
  <c r="AN144" i="5"/>
  <c r="AN170" i="5"/>
  <c r="AO170" i="5"/>
  <c r="AQ170" i="5" s="1"/>
  <c r="AN188" i="5"/>
  <c r="AO188" i="5"/>
  <c r="AQ188" i="5" s="1"/>
  <c r="AO280" i="5"/>
  <c r="AQ280" i="5" s="1"/>
  <c r="AN280" i="5"/>
  <c r="AO318" i="5"/>
  <c r="AQ318" i="5" s="1"/>
  <c r="AN318" i="5"/>
  <c r="AO336" i="5"/>
  <c r="AQ336" i="5" s="1"/>
  <c r="AN336" i="5"/>
  <c r="AN340" i="5"/>
  <c r="AO340" i="5"/>
  <c r="AQ340" i="5" s="1"/>
  <c r="AO366" i="5"/>
  <c r="AQ366" i="5" s="1"/>
  <c r="AN366" i="5"/>
  <c r="AO8" i="5"/>
  <c r="AQ8" i="5" s="1"/>
  <c r="AN28" i="5"/>
  <c r="AN76" i="5"/>
  <c r="AO138" i="5"/>
  <c r="AQ138" i="5" s="1"/>
  <c r="AN156" i="5"/>
  <c r="AN240" i="5"/>
  <c r="AN26" i="5"/>
  <c r="AO192" i="5"/>
  <c r="AQ192" i="5" s="1"/>
  <c r="AN386" i="5"/>
  <c r="AO26" i="5"/>
  <c r="AQ26" i="5" s="1"/>
  <c r="AN44" i="5"/>
  <c r="AO17" i="5"/>
  <c r="AQ17" i="5" s="1"/>
  <c r="AO27" i="5"/>
  <c r="AQ27" i="5" s="1"/>
  <c r="AO29" i="5"/>
  <c r="AQ29" i="5" s="1"/>
  <c r="AO31" i="5"/>
  <c r="AQ31" i="5" s="1"/>
  <c r="AN56" i="5"/>
  <c r="F3" i="5"/>
  <c r="J3" i="5"/>
  <c r="AL7" i="5"/>
  <c r="AO21" i="5"/>
  <c r="AQ21" i="5" s="1"/>
  <c r="AL21" i="5"/>
  <c r="AL24" i="5"/>
  <c r="AN35" i="5"/>
  <c r="AL42" i="5"/>
  <c r="AL43" i="5"/>
  <c r="AO43" i="5"/>
  <c r="AQ43" i="5" s="1"/>
  <c r="AL55" i="5"/>
  <c r="AO59" i="5"/>
  <c r="AQ59" i="5" s="1"/>
  <c r="AN59" i="5"/>
  <c r="AO13" i="5"/>
  <c r="AQ13" i="5" s="1"/>
  <c r="AO15" i="5"/>
  <c r="AQ15" i="5" s="1"/>
  <c r="AO33" i="5"/>
  <c r="AQ33" i="5" s="1"/>
  <c r="AN34" i="5"/>
  <c r="AO36" i="5"/>
  <c r="AQ36" i="5" s="1"/>
  <c r="AL46" i="5"/>
  <c r="AO66" i="5"/>
  <c r="AQ66" i="5" s="1"/>
  <c r="AN66" i="5"/>
  <c r="AN67" i="5"/>
  <c r="G3" i="5"/>
  <c r="AO6" i="5"/>
  <c r="AQ6" i="5" s="1"/>
  <c r="AL34" i="5"/>
  <c r="AO39" i="5"/>
  <c r="AQ39" i="5" s="1"/>
  <c r="AO40" i="5"/>
  <c r="AQ40" i="5" s="1"/>
  <c r="AL40" i="5"/>
  <c r="AO42" i="5"/>
  <c r="AQ42" i="5" s="1"/>
  <c r="AN46" i="5"/>
  <c r="AO47" i="5"/>
  <c r="AQ47" i="5" s="1"/>
  <c r="AO49" i="5"/>
  <c r="AQ49" i="5" s="1"/>
  <c r="AO51" i="5"/>
  <c r="AQ51" i="5" s="1"/>
  <c r="AO53" i="5"/>
  <c r="AQ53" i="5" s="1"/>
  <c r="AN55" i="5"/>
  <c r="AO60" i="5"/>
  <c r="AQ60" i="5" s="1"/>
  <c r="AO64" i="5"/>
  <c r="AQ64" i="5" s="1"/>
  <c r="AN64" i="5"/>
  <c r="AO65" i="5"/>
  <c r="AQ65" i="5" s="1"/>
  <c r="AO70" i="5"/>
  <c r="AQ70" i="5" s="1"/>
  <c r="AO73" i="5"/>
  <c r="AQ73" i="5" s="1"/>
  <c r="AO78" i="5"/>
  <c r="AQ78" i="5" s="1"/>
  <c r="AO82" i="5"/>
  <c r="AQ82" i="5" s="1"/>
  <c r="AO11" i="5"/>
  <c r="AQ11" i="5" s="1"/>
  <c r="AO19" i="5"/>
  <c r="AQ19" i="5" s="1"/>
  <c r="AL58" i="5"/>
  <c r="AN60" i="5"/>
  <c r="AO62" i="5"/>
  <c r="AQ62" i="5" s="1"/>
  <c r="AN62" i="5"/>
  <c r="AO38" i="5"/>
  <c r="AQ38" i="5" s="1"/>
  <c r="AL44" i="5"/>
  <c r="AN58" i="5"/>
  <c r="AO74" i="5"/>
  <c r="AQ74" i="5" s="1"/>
  <c r="AO111" i="5"/>
  <c r="AQ111" i="5" s="1"/>
  <c r="AO87" i="5"/>
  <c r="AQ87" i="5" s="1"/>
  <c r="AO89" i="5"/>
  <c r="AQ89" i="5" s="1"/>
  <c r="AO94" i="5"/>
  <c r="AQ94" i="5" s="1"/>
  <c r="AO96" i="5"/>
  <c r="AQ96" i="5" s="1"/>
  <c r="AO98" i="5"/>
  <c r="AQ98" i="5" s="1"/>
  <c r="AO100" i="5"/>
  <c r="AQ100" i="5" s="1"/>
  <c r="AO105" i="5"/>
  <c r="AQ105" i="5" s="1"/>
  <c r="AO107" i="5"/>
  <c r="AQ107" i="5" s="1"/>
  <c r="AO109" i="5"/>
  <c r="AQ109" i="5" s="1"/>
  <c r="AO112" i="5"/>
  <c r="AQ112" i="5" s="1"/>
  <c r="AL113" i="5"/>
  <c r="AO114" i="5"/>
  <c r="AQ114" i="5" s="1"/>
  <c r="AO116" i="5"/>
  <c r="AQ116" i="5" s="1"/>
  <c r="AO118" i="5"/>
  <c r="AQ118" i="5" s="1"/>
  <c r="AO120" i="5"/>
  <c r="AQ120" i="5" s="1"/>
  <c r="AO122" i="5"/>
  <c r="AQ122" i="5" s="1"/>
  <c r="AL176" i="5"/>
  <c r="AN176" i="5"/>
  <c r="AO180" i="5"/>
  <c r="AQ180" i="5" s="1"/>
  <c r="AO186" i="5"/>
  <c r="AQ186" i="5" s="1"/>
  <c r="AO196" i="5"/>
  <c r="AQ196" i="5" s="1"/>
  <c r="AO207" i="5"/>
  <c r="AQ207" i="5" s="1"/>
  <c r="AO210" i="5"/>
  <c r="AQ210" i="5" s="1"/>
  <c r="AN211" i="5"/>
  <c r="AO56" i="5"/>
  <c r="AQ56" i="5" s="1"/>
  <c r="AO67" i="5"/>
  <c r="AQ67" i="5" s="1"/>
  <c r="AL67" i="5"/>
  <c r="AO86" i="5"/>
  <c r="AQ86" i="5" s="1"/>
  <c r="AO91" i="5"/>
  <c r="AQ91" i="5" s="1"/>
  <c r="AL91" i="5"/>
  <c r="AL101" i="5"/>
  <c r="AN106" i="5"/>
  <c r="AN108" i="5"/>
  <c r="AN110" i="5"/>
  <c r="AN115" i="5"/>
  <c r="AN117" i="5"/>
  <c r="AN119" i="5"/>
  <c r="AN121" i="5"/>
  <c r="AL127" i="5"/>
  <c r="AN160" i="5"/>
  <c r="AN161" i="5"/>
  <c r="AN162" i="5"/>
  <c r="AN163" i="5"/>
  <c r="AN164" i="5"/>
  <c r="AO165" i="5"/>
  <c r="AQ165" i="5" s="1"/>
  <c r="AL199" i="5"/>
  <c r="AO199" i="5"/>
  <c r="AQ199" i="5" s="1"/>
  <c r="AN69" i="5"/>
  <c r="AN71" i="5"/>
  <c r="AN75" i="5"/>
  <c r="AN77" i="5"/>
  <c r="AN79" i="5"/>
  <c r="AN81" i="5"/>
  <c r="AN83" i="5"/>
  <c r="AN85" i="5"/>
  <c r="AO103" i="5"/>
  <c r="AQ103" i="5" s="1"/>
  <c r="AN124" i="5"/>
  <c r="AN126" i="5"/>
  <c r="AN129" i="5"/>
  <c r="AN131" i="5"/>
  <c r="AN133" i="5"/>
  <c r="AN135" i="5"/>
  <c r="AN137" i="5"/>
  <c r="AN139" i="5"/>
  <c r="AN141" i="5"/>
  <c r="AN143" i="5"/>
  <c r="AN145" i="5"/>
  <c r="AN147" i="5"/>
  <c r="AN149" i="5"/>
  <c r="AN151" i="5"/>
  <c r="AN153" i="5"/>
  <c r="AN155" i="5"/>
  <c r="AN157" i="5"/>
  <c r="AN159" i="5"/>
  <c r="AO168" i="5"/>
  <c r="AQ168" i="5" s="1"/>
  <c r="AN169" i="5"/>
  <c r="AO172" i="5"/>
  <c r="AQ172" i="5" s="1"/>
  <c r="AN173" i="5"/>
  <c r="AL175" i="5"/>
  <c r="AN175" i="5"/>
  <c r="AO178" i="5"/>
  <c r="AQ178" i="5" s="1"/>
  <c r="AO182" i="5"/>
  <c r="AQ182" i="5" s="1"/>
  <c r="AL193" i="5"/>
  <c r="AO194" i="5"/>
  <c r="AQ194" i="5" s="1"/>
  <c r="AN195" i="5"/>
  <c r="AL197" i="5"/>
  <c r="AN197" i="5"/>
  <c r="AO208" i="5"/>
  <c r="AQ208" i="5" s="1"/>
  <c r="AO92" i="5"/>
  <c r="AQ92" i="5" s="1"/>
  <c r="AL204" i="5"/>
  <c r="AO204" i="5"/>
  <c r="AQ204" i="5" s="1"/>
  <c r="AO212" i="5"/>
  <c r="AQ212" i="5" s="1"/>
  <c r="AO214" i="5"/>
  <c r="AQ214" i="5" s="1"/>
  <c r="AO216" i="5"/>
  <c r="AQ216" i="5" s="1"/>
  <c r="AO218" i="5"/>
  <c r="AQ218" i="5" s="1"/>
  <c r="AO220" i="5"/>
  <c r="AQ220" i="5" s="1"/>
  <c r="AO223" i="5"/>
  <c r="AQ223" i="5" s="1"/>
  <c r="AO227" i="5"/>
  <c r="AQ227" i="5" s="1"/>
  <c r="AO231" i="5"/>
  <c r="AQ231" i="5" s="1"/>
  <c r="AO235" i="5"/>
  <c r="AQ235" i="5" s="1"/>
  <c r="AN215" i="5"/>
  <c r="AN217" i="5"/>
  <c r="AN219" i="5"/>
  <c r="AL221" i="5"/>
  <c r="AN225" i="5"/>
  <c r="AN229" i="5"/>
  <c r="AN233" i="5"/>
  <c r="AN254" i="5"/>
  <c r="AO254" i="5"/>
  <c r="AQ254" i="5" s="1"/>
  <c r="AO255" i="5"/>
  <c r="AQ255" i="5" s="1"/>
  <c r="AO259" i="5"/>
  <c r="AQ259" i="5" s="1"/>
  <c r="AN179" i="5"/>
  <c r="AO206" i="5"/>
  <c r="AQ206" i="5" s="1"/>
  <c r="AL206" i="5"/>
  <c r="AN224" i="5"/>
  <c r="AN228" i="5"/>
  <c r="AN232" i="5"/>
  <c r="AN236" i="5"/>
  <c r="AL243" i="5"/>
  <c r="AO189" i="5"/>
  <c r="AQ189" i="5" s="1"/>
  <c r="AO226" i="5"/>
  <c r="AQ226" i="5" s="1"/>
  <c r="AO230" i="5"/>
  <c r="AQ230" i="5" s="1"/>
  <c r="AO234" i="5"/>
  <c r="AQ234" i="5" s="1"/>
  <c r="AO237" i="5"/>
  <c r="AQ237" i="5" s="1"/>
  <c r="AO239" i="5"/>
  <c r="AQ239" i="5" s="1"/>
  <c r="AO241" i="5"/>
  <c r="AQ241" i="5" s="1"/>
  <c r="AO245" i="5"/>
  <c r="AQ245" i="5" s="1"/>
  <c r="AO247" i="5"/>
  <c r="AQ247" i="5" s="1"/>
  <c r="AO249" i="5"/>
  <c r="AQ249" i="5" s="1"/>
  <c r="AO251" i="5"/>
  <c r="AQ251" i="5" s="1"/>
  <c r="AN252" i="5"/>
  <c r="AO252" i="5"/>
  <c r="AQ252" i="5" s="1"/>
  <c r="AO253" i="5"/>
  <c r="AQ253" i="5" s="1"/>
  <c r="AO257" i="5"/>
  <c r="AQ257" i="5" s="1"/>
  <c r="AL261" i="5"/>
  <c r="AN256" i="5"/>
  <c r="AN258" i="5"/>
  <c r="AN260" i="5"/>
  <c r="AN263" i="5"/>
  <c r="AO264" i="5"/>
  <c r="AQ264" i="5" s="1"/>
  <c r="AL264" i="5"/>
  <c r="AN266" i="5"/>
  <c r="AO268" i="5"/>
  <c r="AQ268" i="5" s="1"/>
  <c r="AN270" i="5"/>
  <c r="AO271" i="5"/>
  <c r="AQ271" i="5" s="1"/>
  <c r="AN274" i="5"/>
  <c r="AO275" i="5"/>
  <c r="AQ275" i="5" s="1"/>
  <c r="AN278" i="5"/>
  <c r="AO279" i="5"/>
  <c r="AQ279" i="5" s="1"/>
  <c r="AN282" i="5"/>
  <c r="AO283" i="5"/>
  <c r="AQ283" i="5" s="1"/>
  <c r="AL292" i="5"/>
  <c r="AN315" i="5"/>
  <c r="AL315" i="5"/>
  <c r="AO317" i="5"/>
  <c r="AQ317" i="5" s="1"/>
  <c r="AN317" i="5"/>
  <c r="AO347" i="5"/>
  <c r="AQ347" i="5" s="1"/>
  <c r="AN347" i="5"/>
  <c r="AN354" i="5"/>
  <c r="AO354" i="5"/>
  <c r="AQ354" i="5" s="1"/>
  <c r="AO356" i="5"/>
  <c r="AQ356" i="5" s="1"/>
  <c r="AO265" i="5"/>
  <c r="AQ265" i="5" s="1"/>
  <c r="AL265" i="5"/>
  <c r="AN286" i="5"/>
  <c r="AO288" i="5"/>
  <c r="AQ288" i="5" s="1"/>
  <c r="AN288" i="5"/>
  <c r="AN290" i="5"/>
  <c r="AN292" i="5"/>
  <c r="AO294" i="5"/>
  <c r="AQ294" i="5" s="1"/>
  <c r="AN294" i="5"/>
  <c r="AO296" i="5"/>
  <c r="AQ296" i="5" s="1"/>
  <c r="AN296" i="5"/>
  <c r="AO298" i="5"/>
  <c r="AQ298" i="5" s="1"/>
  <c r="AN298" i="5"/>
  <c r="AO300" i="5"/>
  <c r="AQ300" i="5" s="1"/>
  <c r="AN300" i="5"/>
  <c r="AO302" i="5"/>
  <c r="AQ302" i="5" s="1"/>
  <c r="AN302" i="5"/>
  <c r="AN303" i="5"/>
  <c r="AO304" i="5"/>
  <c r="AQ304" i="5" s="1"/>
  <c r="AN304" i="5"/>
  <c r="AN305" i="5"/>
  <c r="AO306" i="5"/>
  <c r="AQ306" i="5" s="1"/>
  <c r="AN306" i="5"/>
  <c r="AN307" i="5"/>
  <c r="AO308" i="5"/>
  <c r="AQ308" i="5" s="1"/>
  <c r="AN308" i="5"/>
  <c r="AN309" i="5"/>
  <c r="AO310" i="5"/>
  <c r="AQ310" i="5" s="1"/>
  <c r="AN310" i="5"/>
  <c r="AN311" i="5"/>
  <c r="AO312" i="5"/>
  <c r="AQ312" i="5" s="1"/>
  <c r="AN312" i="5"/>
  <c r="AN313" i="5"/>
  <c r="AO314" i="5"/>
  <c r="AQ314" i="5" s="1"/>
  <c r="AN314" i="5"/>
  <c r="AO315" i="5"/>
  <c r="AQ315" i="5" s="1"/>
  <c r="AO285" i="5"/>
  <c r="AQ285" i="5" s="1"/>
  <c r="AN285" i="5"/>
  <c r="AO244" i="5"/>
  <c r="AQ244" i="5" s="1"/>
  <c r="AO261" i="5"/>
  <c r="AQ261" i="5" s="1"/>
  <c r="AN269" i="5"/>
  <c r="AN273" i="5"/>
  <c r="AN277" i="5"/>
  <c r="AN281" i="5"/>
  <c r="AO286" i="5"/>
  <c r="AQ286" i="5" s="1"/>
  <c r="AL290" i="5"/>
  <c r="AL291" i="5"/>
  <c r="AO291" i="5"/>
  <c r="AQ291" i="5" s="1"/>
  <c r="AN379" i="5"/>
  <c r="AO379" i="5"/>
  <c r="AQ379" i="5" s="1"/>
  <c r="AN388" i="5"/>
  <c r="AO389" i="5"/>
  <c r="AQ389" i="5" s="1"/>
  <c r="AN389" i="5"/>
  <c r="AO351" i="5"/>
  <c r="AQ351" i="5" s="1"/>
  <c r="AN351" i="5"/>
  <c r="AO355" i="5"/>
  <c r="AQ355" i="5" s="1"/>
  <c r="AN355" i="5"/>
  <c r="AN368" i="5"/>
  <c r="AL369" i="5"/>
  <c r="AO369" i="5"/>
  <c r="AQ369" i="5" s="1"/>
  <c r="AO380" i="5"/>
  <c r="AQ380" i="5" s="1"/>
  <c r="AN380" i="5"/>
  <c r="AN320" i="5"/>
  <c r="AN324" i="5"/>
  <c r="AN328" i="5"/>
  <c r="AN332" i="5"/>
  <c r="AN339" i="5"/>
  <c r="AN343" i="5"/>
  <c r="AO346" i="5"/>
  <c r="AQ346" i="5" s="1"/>
  <c r="AO349" i="5"/>
  <c r="AQ349" i="5" s="1"/>
  <c r="AN349" i="5"/>
  <c r="AO358" i="5"/>
  <c r="AQ358" i="5" s="1"/>
  <c r="AN358" i="5"/>
  <c r="AN359" i="5"/>
  <c r="AO360" i="5"/>
  <c r="AQ360" i="5" s="1"/>
  <c r="AL363" i="5"/>
  <c r="AO372" i="5"/>
  <c r="AQ372" i="5" s="1"/>
  <c r="AN376" i="5"/>
  <c r="AL388" i="5"/>
  <c r="AO388" i="5"/>
  <c r="AQ388" i="5" s="1"/>
  <c r="AN319" i="5"/>
  <c r="AN323" i="5"/>
  <c r="AN327" i="5"/>
  <c r="AN331" i="5"/>
  <c r="AO353" i="5"/>
  <c r="AQ353" i="5" s="1"/>
  <c r="AN353" i="5"/>
  <c r="AO376" i="5"/>
  <c r="AQ376" i="5" s="1"/>
  <c r="AO378" i="5"/>
  <c r="AQ378" i="5" s="1"/>
  <c r="AN378" i="5"/>
  <c r="AO384" i="5"/>
  <c r="AQ384" i="5" s="1"/>
  <c r="AL359" i="5"/>
  <c r="AO381" i="5"/>
  <c r="AQ381" i="5" s="1"/>
  <c r="AL381" i="5"/>
  <c r="AO386" i="5"/>
  <c r="AQ386" i="5" s="1"/>
  <c r="AO350" i="5"/>
  <c r="AQ350" i="5" s="1"/>
  <c r="AN361" i="5"/>
  <c r="AN365" i="5"/>
  <c r="AN367" i="5"/>
  <c r="AO368" i="5"/>
  <c r="AQ368" i="5" s="1"/>
  <c r="AL368" i="5"/>
  <c r="AN371" i="5"/>
  <c r="AN373" i="5"/>
  <c r="AN375" i="5"/>
  <c r="AN383" i="5"/>
  <c r="AN390" i="5"/>
  <c r="AO363" i="5"/>
  <c r="AQ363" i="5" s="1"/>
  <c r="AO364" i="5"/>
  <c r="AQ364" i="5" s="1"/>
  <c r="AO55" i="5" l="1"/>
  <c r="AQ55" i="5" s="1"/>
  <c r="AN381" i="5"/>
  <c r="AN350" i="5"/>
  <c r="AO290" i="5"/>
  <c r="AQ290" i="5" s="1"/>
  <c r="AN261" i="5"/>
  <c r="AO243" i="5"/>
  <c r="AQ243" i="5" s="1"/>
  <c r="AN264" i="5"/>
  <c r="AO222" i="5"/>
  <c r="AQ222" i="5" s="1"/>
  <c r="AN165" i="5"/>
  <c r="AO101" i="5"/>
  <c r="AQ101" i="5" s="1"/>
  <c r="AN244" i="5"/>
  <c r="AO193" i="5"/>
  <c r="AQ193" i="5" s="1"/>
  <c r="AN103" i="5"/>
  <c r="AO35" i="5"/>
  <c r="AQ35" i="5" s="1"/>
  <c r="AO44" i="5"/>
  <c r="AQ44" i="5" s="1"/>
  <c r="AN189" i="5"/>
  <c r="AN206" i="5"/>
  <c r="AN204" i="5"/>
  <c r="AN39" i="5"/>
  <c r="AN21" i="5"/>
  <c r="AN42" i="5"/>
  <c r="AO113" i="5"/>
  <c r="AQ113" i="5" s="1"/>
  <c r="AO293" i="5"/>
  <c r="AQ293" i="5" s="1"/>
  <c r="AN293" i="5"/>
  <c r="AO242" i="5"/>
  <c r="AQ242" i="5" s="1"/>
  <c r="AN242" i="5"/>
  <c r="AN268" i="5"/>
  <c r="AO175" i="5"/>
  <c r="AQ175" i="5" s="1"/>
  <c r="AN92" i="5"/>
  <c r="AN207" i="5"/>
  <c r="AO4" i="5"/>
  <c r="AQ4" i="5" s="1"/>
  <c r="AN40" i="5"/>
  <c r="AN101" i="5"/>
  <c r="AN113" i="5"/>
  <c r="AO45" i="5"/>
  <c r="AQ45" i="5" s="1"/>
  <c r="AO24" i="5"/>
  <c r="AQ24" i="5" s="1"/>
  <c r="AO7" i="5"/>
  <c r="AQ7" i="5" s="1"/>
  <c r="AN24" i="5"/>
  <c r="AN45" i="5"/>
  <c r="AN7" i="5"/>
  <c r="AN291" i="5"/>
  <c r="AN265" i="5"/>
  <c r="AO359" i="5"/>
  <c r="AQ359" i="5" s="1"/>
  <c r="AN369" i="5"/>
  <c r="AN364" i="5"/>
  <c r="AO292" i="5"/>
  <c r="AQ292" i="5" s="1"/>
  <c r="AN363" i="5"/>
  <c r="AO221" i="5"/>
  <c r="AQ221" i="5" s="1"/>
  <c r="AN221" i="5"/>
  <c r="AN222" i="5"/>
  <c r="AO197" i="5"/>
  <c r="AQ197" i="5" s="1"/>
  <c r="AN243" i="5"/>
  <c r="AN199" i="5"/>
  <c r="AO127" i="5"/>
  <c r="AQ127" i="5" s="1"/>
  <c r="AN193" i="5"/>
  <c r="AO176" i="5"/>
  <c r="AQ176" i="5" s="1"/>
  <c r="AN127" i="5"/>
  <c r="AN91" i="5"/>
  <c r="AO58" i="5"/>
  <c r="AQ58" i="5" s="1"/>
  <c r="AO34" i="5"/>
  <c r="AQ34" i="5" s="1"/>
  <c r="AO46" i="5"/>
  <c r="AQ46" i="5" s="1"/>
  <c r="AN43" i="5"/>
  <c r="AN6" i="5"/>
  <c r="AN38" i="5"/>
  <c r="AN4" i="5"/>
  <c r="M364" i="1" l="1"/>
  <c r="O363" i="1"/>
  <c r="P359" i="1"/>
  <c r="O359" i="1"/>
  <c r="N359" i="1"/>
  <c r="N356" i="1"/>
  <c r="M268" i="1" l="1"/>
  <c r="P242" i="1"/>
  <c r="AL242" i="1" s="1"/>
  <c r="N204" i="1"/>
  <c r="N199" i="1"/>
  <c r="O113" i="1"/>
  <c r="O46" i="1"/>
  <c r="N46" i="1"/>
  <c r="M46" i="1"/>
  <c r="O21" i="1"/>
  <c r="B200" i="1"/>
  <c r="B201" i="1" s="1"/>
  <c r="B202" i="1" s="1"/>
  <c r="B203" i="1" s="1"/>
  <c r="AP200" i="1"/>
  <c r="AK200" i="1"/>
  <c r="AG200" i="1"/>
  <c r="AF200" i="1"/>
  <c r="AE200" i="1"/>
  <c r="AO200" i="1" l="1"/>
  <c r="AQ200" i="1" s="1"/>
  <c r="AN200" i="1"/>
  <c r="AP310" i="1" l="1"/>
  <c r="AG310" i="1"/>
  <c r="AF310" i="1"/>
  <c r="AE310" i="1"/>
  <c r="AO310" i="1" s="1"/>
  <c r="AQ310" i="1" s="1"/>
  <c r="AN310" i="1" l="1"/>
  <c r="AK310" i="1"/>
  <c r="AB368" i="1" l="1"/>
  <c r="AB364" i="1"/>
  <c r="AB363" i="1"/>
  <c r="AB359" i="1"/>
  <c r="AB356" i="1"/>
  <c r="AB350" i="1"/>
  <c r="AB315" i="1"/>
  <c r="AB268" i="1"/>
  <c r="AB265" i="1"/>
  <c r="AB221" i="1"/>
  <c r="AB207" i="1"/>
  <c r="AB206" i="1"/>
  <c r="AB197" i="1"/>
  <c r="AB113" i="1"/>
  <c r="AB103" i="1"/>
  <c r="AB92" i="1"/>
  <c r="AB67" i="1"/>
  <c r="AB43" i="1"/>
  <c r="AB3" i="1"/>
  <c r="O39" i="1"/>
  <c r="M244" i="1"/>
  <c r="Z368" i="1" l="1"/>
  <c r="T268" i="1"/>
  <c r="Z268" i="1"/>
  <c r="K315" i="1"/>
  <c r="AA388" i="1" l="1"/>
  <c r="AA369" i="1"/>
  <c r="AA368" i="1"/>
  <c r="AA364" i="1"/>
  <c r="AA359" i="1"/>
  <c r="AA315" i="1"/>
  <c r="AA292" i="1"/>
  <c r="AA268" i="1"/>
  <c r="AA264" i="1"/>
  <c r="AA206" i="1"/>
  <c r="AA197" i="1"/>
  <c r="AA193" i="1"/>
  <c r="AA165" i="1"/>
  <c r="AA111" i="1"/>
  <c r="AA103" i="1"/>
  <c r="AA101" i="1"/>
  <c r="AA92" i="1"/>
  <c r="AA74" i="1"/>
  <c r="AA67" i="1"/>
  <c r="AA55" i="1"/>
  <c r="AA46" i="1"/>
  <c r="AA45" i="1"/>
  <c r="AA44" i="1"/>
  <c r="AA43" i="1"/>
  <c r="AA42" i="1"/>
  <c r="AA40" i="1" l="1"/>
  <c r="AA39" i="1"/>
  <c r="AA24" i="1"/>
  <c r="AA21" i="1"/>
  <c r="AA11" i="1"/>
  <c r="AG11" i="1" s="1"/>
  <c r="AA6" i="1"/>
  <c r="AA4" i="1"/>
  <c r="AG391" i="1"/>
  <c r="AF391" i="1"/>
  <c r="AE391" i="1"/>
  <c r="AG390" i="1"/>
  <c r="AF390" i="1"/>
  <c r="AE390" i="1"/>
  <c r="AG389" i="1"/>
  <c r="AF389" i="1"/>
  <c r="AE389" i="1"/>
  <c r="AO389" i="1" s="1"/>
  <c r="AQ389" i="1" s="1"/>
  <c r="AG387" i="1"/>
  <c r="AF387" i="1"/>
  <c r="AE387" i="1"/>
  <c r="AG385" i="1"/>
  <c r="AF385" i="1"/>
  <c r="AE385" i="1"/>
  <c r="AG384" i="1"/>
  <c r="AF384" i="1"/>
  <c r="AE384" i="1"/>
  <c r="AG383" i="1"/>
  <c r="AF383" i="1"/>
  <c r="AE383" i="1"/>
  <c r="AO383" i="1" s="1"/>
  <c r="AQ383" i="1" s="1"/>
  <c r="AG382" i="1"/>
  <c r="AF382" i="1"/>
  <c r="AE382" i="1"/>
  <c r="AG380" i="1"/>
  <c r="AF380" i="1"/>
  <c r="AE380" i="1"/>
  <c r="AG379" i="1"/>
  <c r="AF379" i="1"/>
  <c r="AE379" i="1"/>
  <c r="AG378" i="1"/>
  <c r="AF378" i="1"/>
  <c r="AE378" i="1"/>
  <c r="AO378" i="1" s="1"/>
  <c r="AQ378" i="1" s="1"/>
  <c r="AG377" i="1"/>
  <c r="AF377" i="1"/>
  <c r="AE377" i="1"/>
  <c r="AG375" i="1"/>
  <c r="AF375" i="1"/>
  <c r="AE375" i="1"/>
  <c r="AG374" i="1"/>
  <c r="AF374" i="1"/>
  <c r="AE374" i="1"/>
  <c r="AG373" i="1"/>
  <c r="AF373" i="1"/>
  <c r="AE373" i="1"/>
  <c r="AO373" i="1" s="1"/>
  <c r="AQ373" i="1" s="1"/>
  <c r="AG372" i="1"/>
  <c r="AF372" i="1"/>
  <c r="AE372" i="1"/>
  <c r="AG371" i="1"/>
  <c r="AF371" i="1"/>
  <c r="AE371" i="1"/>
  <c r="AG370" i="1"/>
  <c r="AF370" i="1"/>
  <c r="AE370" i="1"/>
  <c r="AG367" i="1"/>
  <c r="AF367" i="1"/>
  <c r="AE367" i="1"/>
  <c r="AO367" i="1" s="1"/>
  <c r="AQ367" i="1" s="1"/>
  <c r="AG366" i="1"/>
  <c r="AF366" i="1"/>
  <c r="AE366" i="1"/>
  <c r="AG365" i="1"/>
  <c r="AF365" i="1"/>
  <c r="AE365" i="1"/>
  <c r="AG362" i="1"/>
  <c r="AF362" i="1"/>
  <c r="AE362" i="1"/>
  <c r="AG361" i="1"/>
  <c r="AF361" i="1"/>
  <c r="AE361" i="1"/>
  <c r="AO361" i="1" s="1"/>
  <c r="AQ361" i="1" s="1"/>
  <c r="AG360" i="1"/>
  <c r="AF360" i="1"/>
  <c r="AE360" i="1"/>
  <c r="AG358" i="1"/>
  <c r="AF358" i="1"/>
  <c r="AE358" i="1"/>
  <c r="AG357" i="1"/>
  <c r="AF357" i="1"/>
  <c r="AE357" i="1"/>
  <c r="AG355" i="1"/>
  <c r="AF355" i="1"/>
  <c r="AE355" i="1"/>
  <c r="AO355" i="1" s="1"/>
  <c r="AQ355" i="1" s="1"/>
  <c r="AG354" i="1"/>
  <c r="AF354" i="1"/>
  <c r="AE354" i="1"/>
  <c r="AG353" i="1"/>
  <c r="AF353" i="1"/>
  <c r="AE353" i="1"/>
  <c r="AG352" i="1"/>
  <c r="AF352" i="1"/>
  <c r="AE352" i="1"/>
  <c r="AG351" i="1"/>
  <c r="AF351" i="1"/>
  <c r="AE351" i="1"/>
  <c r="AO351" i="1" s="1"/>
  <c r="AQ351" i="1" s="1"/>
  <c r="AG349" i="1"/>
  <c r="AF349" i="1"/>
  <c r="AE349" i="1"/>
  <c r="AG348" i="1"/>
  <c r="AF348" i="1"/>
  <c r="AE348" i="1"/>
  <c r="AG347" i="1"/>
  <c r="AF347" i="1"/>
  <c r="AE347" i="1"/>
  <c r="AG346" i="1"/>
  <c r="AF346" i="1"/>
  <c r="AE346" i="1"/>
  <c r="AO346" i="1" s="1"/>
  <c r="AQ346" i="1" s="1"/>
  <c r="AG345" i="1"/>
  <c r="AF345" i="1"/>
  <c r="AE345" i="1"/>
  <c r="AG344" i="1"/>
  <c r="AF344" i="1"/>
  <c r="AE344" i="1"/>
  <c r="AG343" i="1"/>
  <c r="AF343" i="1"/>
  <c r="AE343" i="1"/>
  <c r="AG342" i="1"/>
  <c r="AF342" i="1"/>
  <c r="AE342" i="1"/>
  <c r="AO342" i="1" s="1"/>
  <c r="AQ342" i="1" s="1"/>
  <c r="AG341" i="1"/>
  <c r="AF341" i="1"/>
  <c r="AE341" i="1"/>
  <c r="AG340" i="1"/>
  <c r="AF340" i="1"/>
  <c r="AE340" i="1"/>
  <c r="AG339" i="1"/>
  <c r="AF339" i="1"/>
  <c r="AE339" i="1"/>
  <c r="AG338" i="1"/>
  <c r="AF338" i="1"/>
  <c r="AE338" i="1"/>
  <c r="AO338" i="1" s="1"/>
  <c r="AQ338" i="1" s="1"/>
  <c r="AG337" i="1"/>
  <c r="AF337" i="1"/>
  <c r="AE337" i="1"/>
  <c r="AG336" i="1"/>
  <c r="AF336" i="1"/>
  <c r="AE336" i="1"/>
  <c r="AG335" i="1"/>
  <c r="AF335" i="1"/>
  <c r="AE335" i="1"/>
  <c r="AG334" i="1"/>
  <c r="AF334" i="1"/>
  <c r="AE334" i="1"/>
  <c r="AO334" i="1" s="1"/>
  <c r="AQ334" i="1" s="1"/>
  <c r="AG333" i="1"/>
  <c r="AF333" i="1"/>
  <c r="AE333" i="1"/>
  <c r="AG332" i="1"/>
  <c r="AF332" i="1"/>
  <c r="AE332" i="1"/>
  <c r="AG331" i="1"/>
  <c r="AF331" i="1"/>
  <c r="AE331" i="1"/>
  <c r="AG330" i="1"/>
  <c r="AF330" i="1"/>
  <c r="AE330" i="1"/>
  <c r="AO330" i="1" s="1"/>
  <c r="AQ330" i="1" s="1"/>
  <c r="AG329" i="1"/>
  <c r="AF329" i="1"/>
  <c r="AE329" i="1"/>
  <c r="AG328" i="1"/>
  <c r="AF328" i="1"/>
  <c r="AE328" i="1"/>
  <c r="AG327" i="1"/>
  <c r="AF327" i="1"/>
  <c r="AE327" i="1"/>
  <c r="AG326" i="1"/>
  <c r="AF326" i="1"/>
  <c r="AE326" i="1"/>
  <c r="AO326" i="1" s="1"/>
  <c r="AQ326" i="1" s="1"/>
  <c r="AG325" i="1"/>
  <c r="AF325" i="1"/>
  <c r="AE325" i="1"/>
  <c r="AG324" i="1"/>
  <c r="AF324" i="1"/>
  <c r="AE324" i="1"/>
  <c r="AG323" i="1"/>
  <c r="AF323" i="1"/>
  <c r="AE323" i="1"/>
  <c r="AG322" i="1"/>
  <c r="AF322" i="1"/>
  <c r="AE322" i="1"/>
  <c r="AO322" i="1" s="1"/>
  <c r="AQ322" i="1" s="1"/>
  <c r="AG321" i="1"/>
  <c r="AF321" i="1"/>
  <c r="AE321" i="1"/>
  <c r="AG320" i="1"/>
  <c r="AF320" i="1"/>
  <c r="AE320" i="1"/>
  <c r="AG319" i="1"/>
  <c r="AF319" i="1"/>
  <c r="AE319" i="1"/>
  <c r="AG318" i="1"/>
  <c r="AF318" i="1"/>
  <c r="AE318" i="1"/>
  <c r="AO318" i="1" s="1"/>
  <c r="AQ318" i="1" s="1"/>
  <c r="AG317" i="1"/>
  <c r="AF317" i="1"/>
  <c r="AE317" i="1"/>
  <c r="AG316" i="1"/>
  <c r="AF316" i="1"/>
  <c r="AE316" i="1"/>
  <c r="AG314" i="1"/>
  <c r="AF314" i="1"/>
  <c r="AE314" i="1"/>
  <c r="AG313" i="1"/>
  <c r="AF313" i="1"/>
  <c r="AE313" i="1"/>
  <c r="AO313" i="1" s="1"/>
  <c r="AQ313" i="1" s="1"/>
  <c r="AG312" i="1"/>
  <c r="AF312" i="1"/>
  <c r="AE312" i="1"/>
  <c r="AG311" i="1"/>
  <c r="AF311" i="1"/>
  <c r="AE311" i="1"/>
  <c r="AG309" i="1"/>
  <c r="AF309" i="1"/>
  <c r="AE309" i="1"/>
  <c r="AG308" i="1"/>
  <c r="AF308" i="1"/>
  <c r="AE308" i="1"/>
  <c r="AO308" i="1" s="1"/>
  <c r="AQ308" i="1" s="1"/>
  <c r="AG307" i="1"/>
  <c r="AF307" i="1"/>
  <c r="AE307" i="1"/>
  <c r="AG306" i="1"/>
  <c r="AF306" i="1"/>
  <c r="AE306" i="1"/>
  <c r="AG305" i="1"/>
  <c r="AF305" i="1"/>
  <c r="AE305" i="1"/>
  <c r="AG304" i="1"/>
  <c r="AF304" i="1"/>
  <c r="AE304" i="1"/>
  <c r="AO304" i="1" s="1"/>
  <c r="AQ304" i="1" s="1"/>
  <c r="AG303" i="1"/>
  <c r="AF303" i="1"/>
  <c r="AE303" i="1"/>
  <c r="AG302" i="1"/>
  <c r="AF302" i="1"/>
  <c r="AE302" i="1"/>
  <c r="AG301" i="1"/>
  <c r="AF301" i="1"/>
  <c r="AE301" i="1"/>
  <c r="AG300" i="1"/>
  <c r="AF300" i="1"/>
  <c r="AE300" i="1"/>
  <c r="AO300" i="1" s="1"/>
  <c r="AQ300" i="1" s="1"/>
  <c r="AG299" i="1"/>
  <c r="AF299" i="1"/>
  <c r="AE299" i="1"/>
  <c r="AG298" i="1"/>
  <c r="AF298" i="1"/>
  <c r="AE298" i="1"/>
  <c r="AG297" i="1"/>
  <c r="AF297" i="1"/>
  <c r="AE297" i="1"/>
  <c r="AG296" i="1"/>
  <c r="AF296" i="1"/>
  <c r="AE296" i="1"/>
  <c r="AO296" i="1" s="1"/>
  <c r="AQ296" i="1" s="1"/>
  <c r="AG295" i="1"/>
  <c r="AF295" i="1"/>
  <c r="AE295" i="1"/>
  <c r="AG294" i="1"/>
  <c r="AF294" i="1"/>
  <c r="AE294" i="1"/>
  <c r="AG289" i="1"/>
  <c r="AF289" i="1"/>
  <c r="AE289" i="1"/>
  <c r="AG288" i="1"/>
  <c r="AF288" i="1"/>
  <c r="AE288" i="1"/>
  <c r="AO288" i="1" s="1"/>
  <c r="AQ288" i="1" s="1"/>
  <c r="AG287" i="1"/>
  <c r="AF287" i="1"/>
  <c r="AE287" i="1"/>
  <c r="AG285" i="1"/>
  <c r="AF285" i="1"/>
  <c r="AE285" i="1"/>
  <c r="AG284" i="1"/>
  <c r="AF284" i="1"/>
  <c r="AE284" i="1"/>
  <c r="AG283" i="1"/>
  <c r="AF283" i="1"/>
  <c r="AE283" i="1"/>
  <c r="AO283" i="1" s="1"/>
  <c r="AQ283" i="1" s="1"/>
  <c r="AG282" i="1"/>
  <c r="AF282" i="1"/>
  <c r="AE282" i="1"/>
  <c r="AG281" i="1"/>
  <c r="AF281" i="1"/>
  <c r="AE281" i="1"/>
  <c r="AG280" i="1"/>
  <c r="AF280" i="1"/>
  <c r="AE280" i="1"/>
  <c r="AG279" i="1"/>
  <c r="AF279" i="1"/>
  <c r="AE279" i="1"/>
  <c r="AO279" i="1" s="1"/>
  <c r="AQ279" i="1" s="1"/>
  <c r="AG278" i="1"/>
  <c r="AF278" i="1"/>
  <c r="AE278" i="1"/>
  <c r="AG277" i="1"/>
  <c r="AF277" i="1"/>
  <c r="AE277" i="1"/>
  <c r="AG276" i="1"/>
  <c r="AF276" i="1"/>
  <c r="AE276" i="1"/>
  <c r="AG275" i="1"/>
  <c r="AF275" i="1"/>
  <c r="AE275" i="1"/>
  <c r="AO275" i="1" s="1"/>
  <c r="AQ275" i="1" s="1"/>
  <c r="AG274" i="1"/>
  <c r="AF274" i="1"/>
  <c r="AE274" i="1"/>
  <c r="AG273" i="1"/>
  <c r="AF273" i="1"/>
  <c r="AE273" i="1"/>
  <c r="AG272" i="1"/>
  <c r="AF272" i="1"/>
  <c r="AE272" i="1"/>
  <c r="AG271" i="1"/>
  <c r="AF271" i="1"/>
  <c r="AE271" i="1"/>
  <c r="AO271" i="1" s="1"/>
  <c r="AQ271" i="1" s="1"/>
  <c r="AG270" i="1"/>
  <c r="AF270" i="1"/>
  <c r="AE270" i="1"/>
  <c r="AG269" i="1"/>
  <c r="AF269" i="1"/>
  <c r="AE269" i="1"/>
  <c r="AG267" i="1"/>
  <c r="AF267" i="1"/>
  <c r="AE267" i="1"/>
  <c r="AG266" i="1"/>
  <c r="AF266" i="1"/>
  <c r="AE266" i="1"/>
  <c r="AO266" i="1" s="1"/>
  <c r="AQ266" i="1" s="1"/>
  <c r="AG263" i="1"/>
  <c r="AF263" i="1"/>
  <c r="AE263" i="1"/>
  <c r="AG262" i="1"/>
  <c r="AF262" i="1"/>
  <c r="AE262" i="1"/>
  <c r="AG260" i="1"/>
  <c r="AF260" i="1"/>
  <c r="AE260" i="1"/>
  <c r="AG259" i="1"/>
  <c r="AF259" i="1"/>
  <c r="AE259" i="1"/>
  <c r="AO259" i="1" s="1"/>
  <c r="AQ259" i="1" s="1"/>
  <c r="AG258" i="1"/>
  <c r="AF258" i="1"/>
  <c r="AE258" i="1"/>
  <c r="AG257" i="1"/>
  <c r="AF257" i="1"/>
  <c r="AE257" i="1"/>
  <c r="AG256" i="1"/>
  <c r="AF256" i="1"/>
  <c r="AE256" i="1"/>
  <c r="AG254" i="1"/>
  <c r="AF254" i="1"/>
  <c r="AE254" i="1"/>
  <c r="AO254" i="1" s="1"/>
  <c r="AQ254" i="1" s="1"/>
  <c r="AG253" i="1"/>
  <c r="AF253" i="1"/>
  <c r="AE253" i="1"/>
  <c r="AG252" i="1"/>
  <c r="AF252" i="1"/>
  <c r="AE252" i="1"/>
  <c r="AG251" i="1"/>
  <c r="AF251" i="1"/>
  <c r="AE251" i="1"/>
  <c r="AG250" i="1"/>
  <c r="AF250" i="1"/>
  <c r="AE250" i="1"/>
  <c r="AO250" i="1" s="1"/>
  <c r="AQ250" i="1" s="1"/>
  <c r="AG249" i="1"/>
  <c r="AF249" i="1"/>
  <c r="AE249" i="1"/>
  <c r="AG248" i="1"/>
  <c r="AF248" i="1"/>
  <c r="AE248" i="1"/>
  <c r="AG247" i="1"/>
  <c r="AF247" i="1"/>
  <c r="AE247" i="1"/>
  <c r="AG246" i="1"/>
  <c r="AF246" i="1"/>
  <c r="AE246" i="1"/>
  <c r="AO246" i="1" s="1"/>
  <c r="AQ246" i="1" s="1"/>
  <c r="AG245" i="1"/>
  <c r="AF245" i="1"/>
  <c r="AE245" i="1"/>
  <c r="AG241" i="1"/>
  <c r="AF241" i="1"/>
  <c r="AE241" i="1"/>
  <c r="AG240" i="1"/>
  <c r="AF240" i="1"/>
  <c r="AE240" i="1"/>
  <c r="AG239" i="1"/>
  <c r="AF239" i="1"/>
  <c r="AE239" i="1"/>
  <c r="AO239" i="1" s="1"/>
  <c r="AQ239" i="1" s="1"/>
  <c r="AG238" i="1"/>
  <c r="AF238" i="1"/>
  <c r="AE238" i="1"/>
  <c r="AG237" i="1"/>
  <c r="AF237" i="1"/>
  <c r="AE237" i="1"/>
  <c r="AG236" i="1"/>
  <c r="AF236" i="1"/>
  <c r="AE236" i="1"/>
  <c r="AG235" i="1"/>
  <c r="AF235" i="1"/>
  <c r="AE235" i="1"/>
  <c r="AO235" i="1" s="1"/>
  <c r="AQ235" i="1" s="1"/>
  <c r="AG234" i="1"/>
  <c r="AF234" i="1"/>
  <c r="AE234" i="1"/>
  <c r="AG233" i="1"/>
  <c r="AF233" i="1"/>
  <c r="AE233" i="1"/>
  <c r="AG232" i="1"/>
  <c r="AF232" i="1"/>
  <c r="AE232" i="1"/>
  <c r="AG231" i="1"/>
  <c r="AF231" i="1"/>
  <c r="AE231" i="1"/>
  <c r="AO231" i="1" s="1"/>
  <c r="AQ231" i="1" s="1"/>
  <c r="AG230" i="1"/>
  <c r="AF230" i="1"/>
  <c r="AE230" i="1"/>
  <c r="AG229" i="1"/>
  <c r="AF229" i="1"/>
  <c r="AE229" i="1"/>
  <c r="AG228" i="1"/>
  <c r="AF228" i="1"/>
  <c r="AE228" i="1"/>
  <c r="AG227" i="1"/>
  <c r="AF227" i="1"/>
  <c r="AE227" i="1"/>
  <c r="AO227" i="1" s="1"/>
  <c r="AQ227" i="1" s="1"/>
  <c r="AG226" i="1"/>
  <c r="AF226" i="1"/>
  <c r="AE226" i="1"/>
  <c r="AG225" i="1"/>
  <c r="AF225" i="1"/>
  <c r="AE225" i="1"/>
  <c r="AG224" i="1"/>
  <c r="AF224" i="1"/>
  <c r="AE224" i="1"/>
  <c r="AG223" i="1"/>
  <c r="AF223" i="1"/>
  <c r="AE223" i="1"/>
  <c r="AO223" i="1" s="1"/>
  <c r="AQ223" i="1" s="1"/>
  <c r="AG220" i="1"/>
  <c r="AF220" i="1"/>
  <c r="AE220" i="1"/>
  <c r="AG219" i="1"/>
  <c r="AF219" i="1"/>
  <c r="AE219" i="1"/>
  <c r="AG218" i="1"/>
  <c r="AF218" i="1"/>
  <c r="AE218" i="1"/>
  <c r="AG217" i="1"/>
  <c r="AF217" i="1"/>
  <c r="AE217" i="1"/>
  <c r="AO217" i="1" s="1"/>
  <c r="AQ217" i="1" s="1"/>
  <c r="AG216" i="1"/>
  <c r="AF216" i="1"/>
  <c r="AE216" i="1"/>
  <c r="AG215" i="1"/>
  <c r="AF215" i="1"/>
  <c r="AE215" i="1"/>
  <c r="AG214" i="1"/>
  <c r="AF214" i="1"/>
  <c r="AE214" i="1"/>
  <c r="AG213" i="1"/>
  <c r="AF213" i="1"/>
  <c r="AE213" i="1"/>
  <c r="AO213" i="1" s="1"/>
  <c r="AQ213" i="1" s="1"/>
  <c r="AG212" i="1"/>
  <c r="AF212" i="1"/>
  <c r="AE212" i="1"/>
  <c r="AG211" i="1"/>
  <c r="AF211" i="1"/>
  <c r="AE211" i="1"/>
  <c r="AG210" i="1"/>
  <c r="AF210" i="1"/>
  <c r="AE210" i="1"/>
  <c r="AG209" i="1"/>
  <c r="AF209" i="1"/>
  <c r="AE209" i="1"/>
  <c r="AO209" i="1" s="1"/>
  <c r="AQ209" i="1" s="1"/>
  <c r="AG208" i="1"/>
  <c r="AF208" i="1"/>
  <c r="AE208" i="1"/>
  <c r="AG205" i="1"/>
  <c r="AF205" i="1"/>
  <c r="AE205" i="1"/>
  <c r="AG203" i="1"/>
  <c r="AF203" i="1"/>
  <c r="AE203" i="1"/>
  <c r="AG202" i="1"/>
  <c r="AF202" i="1"/>
  <c r="AE202" i="1"/>
  <c r="AO202" i="1" s="1"/>
  <c r="AQ202" i="1" s="1"/>
  <c r="AG201" i="1"/>
  <c r="AF201" i="1"/>
  <c r="AE201" i="1"/>
  <c r="AG196" i="1"/>
  <c r="AF196" i="1"/>
  <c r="AE196" i="1"/>
  <c r="AG195" i="1"/>
  <c r="AF195" i="1"/>
  <c r="AE195" i="1"/>
  <c r="AG194" i="1"/>
  <c r="AF194" i="1"/>
  <c r="AE194" i="1"/>
  <c r="AO194" i="1" s="1"/>
  <c r="AQ194" i="1" s="1"/>
  <c r="AG191" i="1"/>
  <c r="AF191" i="1"/>
  <c r="AE191" i="1"/>
  <c r="AG190" i="1"/>
  <c r="AF190" i="1"/>
  <c r="AE190" i="1"/>
  <c r="AG188" i="1"/>
  <c r="AF188" i="1"/>
  <c r="AE188" i="1"/>
  <c r="AG187" i="1"/>
  <c r="AF187" i="1"/>
  <c r="AE187" i="1"/>
  <c r="AO187" i="1" s="1"/>
  <c r="AQ187" i="1" s="1"/>
  <c r="AG186" i="1"/>
  <c r="AF186" i="1"/>
  <c r="AE186" i="1"/>
  <c r="AG185" i="1"/>
  <c r="AF185" i="1"/>
  <c r="AE185" i="1"/>
  <c r="AG184" i="1"/>
  <c r="AF184" i="1"/>
  <c r="AE184" i="1"/>
  <c r="AG183" i="1"/>
  <c r="AF183" i="1"/>
  <c r="AE183" i="1"/>
  <c r="AO183" i="1" s="1"/>
  <c r="AQ183" i="1" s="1"/>
  <c r="AG182" i="1"/>
  <c r="AF182" i="1"/>
  <c r="AE182" i="1"/>
  <c r="AG181" i="1"/>
  <c r="AF181" i="1"/>
  <c r="AE181" i="1"/>
  <c r="AG180" i="1"/>
  <c r="AF180" i="1"/>
  <c r="AE180" i="1"/>
  <c r="AG179" i="1"/>
  <c r="AF179" i="1"/>
  <c r="AE179" i="1"/>
  <c r="AO179" i="1" s="1"/>
  <c r="AQ179" i="1" s="1"/>
  <c r="AG178" i="1"/>
  <c r="AF178" i="1"/>
  <c r="AE178" i="1"/>
  <c r="AG177" i="1"/>
  <c r="AF177" i="1"/>
  <c r="AE177" i="1"/>
  <c r="AG174" i="1"/>
  <c r="AF174" i="1"/>
  <c r="AE174" i="1"/>
  <c r="AG173" i="1"/>
  <c r="AF173" i="1"/>
  <c r="AE173" i="1"/>
  <c r="AO173" i="1" s="1"/>
  <c r="AQ173" i="1" s="1"/>
  <c r="AG172" i="1"/>
  <c r="AF172" i="1"/>
  <c r="AE172" i="1"/>
  <c r="AG171" i="1"/>
  <c r="AF171" i="1"/>
  <c r="AE171" i="1"/>
  <c r="AG170" i="1"/>
  <c r="AF170" i="1"/>
  <c r="AE170" i="1"/>
  <c r="AG169" i="1"/>
  <c r="AF169" i="1"/>
  <c r="AE169" i="1"/>
  <c r="AO169" i="1" s="1"/>
  <c r="AQ169" i="1" s="1"/>
  <c r="AG168" i="1"/>
  <c r="AF168" i="1"/>
  <c r="AE168" i="1"/>
  <c r="AG167" i="1"/>
  <c r="AF167" i="1"/>
  <c r="AE167" i="1"/>
  <c r="AG166" i="1"/>
  <c r="AF166" i="1"/>
  <c r="AE166" i="1"/>
  <c r="AG164" i="1"/>
  <c r="AF164" i="1"/>
  <c r="AE164" i="1"/>
  <c r="AO164" i="1" s="1"/>
  <c r="AQ164" i="1" s="1"/>
  <c r="AG163" i="1"/>
  <c r="AF163" i="1"/>
  <c r="AE163" i="1"/>
  <c r="AG162" i="1"/>
  <c r="AF162" i="1"/>
  <c r="AE162" i="1"/>
  <c r="AG161" i="1"/>
  <c r="AF161" i="1"/>
  <c r="AE161" i="1"/>
  <c r="AG160" i="1"/>
  <c r="AF160" i="1"/>
  <c r="AE160" i="1"/>
  <c r="AO160" i="1" s="1"/>
  <c r="AQ160" i="1" s="1"/>
  <c r="AG159" i="1"/>
  <c r="AF159" i="1"/>
  <c r="AE159" i="1"/>
  <c r="AG158" i="1"/>
  <c r="AF158" i="1"/>
  <c r="AE158" i="1"/>
  <c r="AG157" i="1"/>
  <c r="AF157" i="1"/>
  <c r="AE157" i="1"/>
  <c r="AG156" i="1"/>
  <c r="AF156" i="1"/>
  <c r="AE156" i="1"/>
  <c r="AO156" i="1" s="1"/>
  <c r="AQ156" i="1" s="1"/>
  <c r="AG155" i="1"/>
  <c r="AF155" i="1"/>
  <c r="AE155" i="1"/>
  <c r="AG154" i="1"/>
  <c r="AF154" i="1"/>
  <c r="AE154" i="1"/>
  <c r="AG153" i="1"/>
  <c r="AF153" i="1"/>
  <c r="AE153" i="1"/>
  <c r="AG152" i="1"/>
  <c r="AF152" i="1"/>
  <c r="AE152" i="1"/>
  <c r="AO152" i="1" s="1"/>
  <c r="AQ152" i="1" s="1"/>
  <c r="AG151" i="1"/>
  <c r="AF151" i="1"/>
  <c r="AE151" i="1"/>
  <c r="AG150" i="1"/>
  <c r="AF150" i="1"/>
  <c r="AE150" i="1"/>
  <c r="AG149" i="1"/>
  <c r="AF149" i="1"/>
  <c r="AE149" i="1"/>
  <c r="AG148" i="1"/>
  <c r="AF148" i="1"/>
  <c r="AE148" i="1"/>
  <c r="AO148" i="1" s="1"/>
  <c r="AQ148" i="1" s="1"/>
  <c r="AG147" i="1"/>
  <c r="AF147" i="1"/>
  <c r="AE147" i="1"/>
  <c r="AG146" i="1"/>
  <c r="AF146" i="1"/>
  <c r="AE146" i="1"/>
  <c r="AG145" i="1"/>
  <c r="AF145" i="1"/>
  <c r="AE145" i="1"/>
  <c r="AG144" i="1"/>
  <c r="AF144" i="1"/>
  <c r="AE144" i="1"/>
  <c r="AO144" i="1" s="1"/>
  <c r="AQ144" i="1" s="1"/>
  <c r="AG143" i="1"/>
  <c r="AF143" i="1"/>
  <c r="AE143" i="1"/>
  <c r="AG142" i="1"/>
  <c r="AF142" i="1"/>
  <c r="AE142" i="1"/>
  <c r="AG141" i="1"/>
  <c r="AF141" i="1"/>
  <c r="AE141" i="1"/>
  <c r="AG140" i="1"/>
  <c r="AF140" i="1"/>
  <c r="AE140" i="1"/>
  <c r="AO140" i="1" s="1"/>
  <c r="AQ140" i="1" s="1"/>
  <c r="AG139" i="1"/>
  <c r="AF139" i="1"/>
  <c r="AE139" i="1"/>
  <c r="AG138" i="1"/>
  <c r="AF138" i="1"/>
  <c r="AE138" i="1"/>
  <c r="AG137" i="1"/>
  <c r="AF137" i="1"/>
  <c r="AE137" i="1"/>
  <c r="AG136" i="1"/>
  <c r="AF136" i="1"/>
  <c r="AE136" i="1"/>
  <c r="AO136" i="1" s="1"/>
  <c r="AQ136" i="1" s="1"/>
  <c r="AG135" i="1"/>
  <c r="AF135" i="1"/>
  <c r="AE135" i="1"/>
  <c r="AG134" i="1"/>
  <c r="AF134" i="1"/>
  <c r="AE134" i="1"/>
  <c r="AG133" i="1"/>
  <c r="AF133" i="1"/>
  <c r="AE133" i="1"/>
  <c r="AG132" i="1"/>
  <c r="AF132" i="1"/>
  <c r="AE132" i="1"/>
  <c r="AO132" i="1" s="1"/>
  <c r="AQ132" i="1" s="1"/>
  <c r="AG131" i="1"/>
  <c r="AF131" i="1"/>
  <c r="AE131" i="1"/>
  <c r="AG130" i="1"/>
  <c r="AF130" i="1"/>
  <c r="AE130" i="1"/>
  <c r="AG129" i="1"/>
  <c r="AF129" i="1"/>
  <c r="AE129" i="1"/>
  <c r="AG128" i="1"/>
  <c r="AF128" i="1"/>
  <c r="AE128" i="1"/>
  <c r="AO128" i="1" s="1"/>
  <c r="AQ128" i="1" s="1"/>
  <c r="AG126" i="1"/>
  <c r="AF126" i="1"/>
  <c r="AE126" i="1"/>
  <c r="AG125" i="1"/>
  <c r="AF125" i="1"/>
  <c r="AE125" i="1"/>
  <c r="AG124" i="1"/>
  <c r="AF124" i="1"/>
  <c r="AE124" i="1"/>
  <c r="AG123" i="1"/>
  <c r="AF123" i="1"/>
  <c r="AE123" i="1"/>
  <c r="AO123" i="1" s="1"/>
  <c r="AQ123" i="1" s="1"/>
  <c r="AG122" i="1"/>
  <c r="AF122" i="1"/>
  <c r="AE122" i="1"/>
  <c r="AG121" i="1"/>
  <c r="AF121" i="1"/>
  <c r="AE121" i="1"/>
  <c r="AG120" i="1"/>
  <c r="AF120" i="1"/>
  <c r="AE120" i="1"/>
  <c r="AG119" i="1"/>
  <c r="AF119" i="1"/>
  <c r="AE119" i="1"/>
  <c r="AO119" i="1" s="1"/>
  <c r="AQ119" i="1" s="1"/>
  <c r="AG118" i="1"/>
  <c r="AF118" i="1"/>
  <c r="AE118" i="1"/>
  <c r="AG117" i="1"/>
  <c r="AF117" i="1"/>
  <c r="AE117" i="1"/>
  <c r="AG116" i="1"/>
  <c r="AF116" i="1"/>
  <c r="AE116" i="1"/>
  <c r="AG115" i="1"/>
  <c r="AF115" i="1"/>
  <c r="AE115" i="1"/>
  <c r="AO115" i="1" s="1"/>
  <c r="AQ115" i="1" s="1"/>
  <c r="AG114" i="1"/>
  <c r="AF114" i="1"/>
  <c r="AE114" i="1"/>
  <c r="AG112" i="1"/>
  <c r="AF112" i="1"/>
  <c r="AE112" i="1"/>
  <c r="AG110" i="1"/>
  <c r="AF110" i="1"/>
  <c r="AE110" i="1"/>
  <c r="AG109" i="1"/>
  <c r="AF109" i="1"/>
  <c r="AE109" i="1"/>
  <c r="AO109" i="1" s="1"/>
  <c r="AQ109" i="1" s="1"/>
  <c r="AG108" i="1"/>
  <c r="AF108" i="1"/>
  <c r="AE108" i="1"/>
  <c r="AG107" i="1"/>
  <c r="AF107" i="1"/>
  <c r="AE107" i="1"/>
  <c r="AG106" i="1"/>
  <c r="AF106" i="1"/>
  <c r="AE106" i="1"/>
  <c r="AG105" i="1"/>
  <c r="AF105" i="1"/>
  <c r="AE105" i="1"/>
  <c r="AO105" i="1" s="1"/>
  <c r="AQ105" i="1" s="1"/>
  <c r="AG104" i="1"/>
  <c r="AF104" i="1"/>
  <c r="AE104" i="1"/>
  <c r="AG102" i="1"/>
  <c r="AF102" i="1"/>
  <c r="AE102" i="1"/>
  <c r="AG100" i="1"/>
  <c r="AF100" i="1"/>
  <c r="AE100" i="1"/>
  <c r="AG99" i="1"/>
  <c r="AF99" i="1"/>
  <c r="AE99" i="1"/>
  <c r="AO99" i="1" s="1"/>
  <c r="AQ99" i="1" s="1"/>
  <c r="AG98" i="1"/>
  <c r="AF98" i="1"/>
  <c r="AE98" i="1"/>
  <c r="AG97" i="1"/>
  <c r="AF97" i="1"/>
  <c r="AE97" i="1"/>
  <c r="AG96" i="1"/>
  <c r="AF96" i="1"/>
  <c r="AE96" i="1"/>
  <c r="AG95" i="1"/>
  <c r="AF95" i="1"/>
  <c r="AE95" i="1"/>
  <c r="AO95" i="1" s="1"/>
  <c r="AQ95" i="1" s="1"/>
  <c r="AG94" i="1"/>
  <c r="AF94" i="1"/>
  <c r="AE94" i="1"/>
  <c r="AG93" i="1"/>
  <c r="AF93" i="1"/>
  <c r="AE93" i="1"/>
  <c r="AG90" i="1"/>
  <c r="AF90" i="1"/>
  <c r="AE90" i="1"/>
  <c r="AG89" i="1"/>
  <c r="AF89" i="1"/>
  <c r="AE89" i="1"/>
  <c r="AO89" i="1" s="1"/>
  <c r="AQ89" i="1" s="1"/>
  <c r="AG88" i="1"/>
  <c r="AF88" i="1"/>
  <c r="AE88" i="1"/>
  <c r="AG87" i="1"/>
  <c r="AF87" i="1"/>
  <c r="AE87" i="1"/>
  <c r="AG85" i="1"/>
  <c r="AF85" i="1"/>
  <c r="AE85" i="1"/>
  <c r="AG84" i="1"/>
  <c r="AF84" i="1"/>
  <c r="AE84" i="1"/>
  <c r="AO84" i="1" s="1"/>
  <c r="AQ84" i="1" s="1"/>
  <c r="AG83" i="1"/>
  <c r="AF83" i="1"/>
  <c r="AE83" i="1"/>
  <c r="AG82" i="1"/>
  <c r="AF82" i="1"/>
  <c r="AE82" i="1"/>
  <c r="AG81" i="1"/>
  <c r="AF81" i="1"/>
  <c r="AE81" i="1"/>
  <c r="AG80" i="1"/>
  <c r="AF80" i="1"/>
  <c r="AE80" i="1"/>
  <c r="AO80" i="1" s="1"/>
  <c r="AQ80" i="1" s="1"/>
  <c r="AG79" i="1"/>
  <c r="AF79" i="1"/>
  <c r="AE79" i="1"/>
  <c r="AG78" i="1"/>
  <c r="AF78" i="1"/>
  <c r="AE78" i="1"/>
  <c r="AG77" i="1"/>
  <c r="AF77" i="1"/>
  <c r="AE77" i="1"/>
  <c r="AG76" i="1"/>
  <c r="AF76" i="1"/>
  <c r="AE76" i="1"/>
  <c r="AO76" i="1" s="1"/>
  <c r="AQ76" i="1" s="1"/>
  <c r="AG75" i="1"/>
  <c r="AF75" i="1"/>
  <c r="AE75" i="1"/>
  <c r="AG72" i="1"/>
  <c r="AF72" i="1"/>
  <c r="AE72" i="1"/>
  <c r="AG71" i="1"/>
  <c r="AF71" i="1"/>
  <c r="AE71" i="1"/>
  <c r="AG70" i="1"/>
  <c r="AF70" i="1"/>
  <c r="AE70" i="1"/>
  <c r="AO70" i="1" s="1"/>
  <c r="AQ70" i="1" s="1"/>
  <c r="AG69" i="1"/>
  <c r="AF69" i="1"/>
  <c r="AE69" i="1"/>
  <c r="AG68" i="1"/>
  <c r="AF68" i="1"/>
  <c r="AE68" i="1"/>
  <c r="AG66" i="1"/>
  <c r="AF66" i="1"/>
  <c r="AE66" i="1"/>
  <c r="AG65" i="1"/>
  <c r="AF65" i="1"/>
  <c r="AE65" i="1"/>
  <c r="AO65" i="1" s="1"/>
  <c r="AQ65" i="1" s="1"/>
  <c r="AG64" i="1"/>
  <c r="AF64" i="1"/>
  <c r="AE64" i="1"/>
  <c r="AG63" i="1"/>
  <c r="AF63" i="1"/>
  <c r="AE63" i="1"/>
  <c r="AG62" i="1"/>
  <c r="AF62" i="1"/>
  <c r="AE62" i="1"/>
  <c r="AG61" i="1"/>
  <c r="AF61" i="1"/>
  <c r="AE61" i="1"/>
  <c r="AO61" i="1" s="1"/>
  <c r="AQ61" i="1" s="1"/>
  <c r="AG59" i="1"/>
  <c r="AF59" i="1"/>
  <c r="AE59" i="1"/>
  <c r="AG57" i="1"/>
  <c r="AF57" i="1"/>
  <c r="AE57" i="1"/>
  <c r="AG54" i="1"/>
  <c r="AF54" i="1"/>
  <c r="AE54" i="1"/>
  <c r="AG53" i="1"/>
  <c r="AF53" i="1"/>
  <c r="AE53" i="1"/>
  <c r="AO53" i="1" s="1"/>
  <c r="AQ53" i="1" s="1"/>
  <c r="AG52" i="1"/>
  <c r="AF52" i="1"/>
  <c r="AE52" i="1"/>
  <c r="AG51" i="1"/>
  <c r="AF51" i="1"/>
  <c r="AE51" i="1"/>
  <c r="AG50" i="1"/>
  <c r="AF50" i="1"/>
  <c r="AE50" i="1"/>
  <c r="AG49" i="1"/>
  <c r="AF49" i="1"/>
  <c r="AE49" i="1"/>
  <c r="AO49" i="1" s="1"/>
  <c r="AQ49" i="1" s="1"/>
  <c r="AG48" i="1"/>
  <c r="AF48" i="1"/>
  <c r="AE48" i="1"/>
  <c r="AG47" i="1"/>
  <c r="AF47" i="1"/>
  <c r="AE47" i="1"/>
  <c r="AG41" i="1"/>
  <c r="AF41" i="1"/>
  <c r="AE41" i="1"/>
  <c r="AG37" i="1"/>
  <c r="AF37" i="1"/>
  <c r="AE37" i="1"/>
  <c r="AO37" i="1" s="1"/>
  <c r="AQ37" i="1" s="1"/>
  <c r="AG33" i="1"/>
  <c r="AF33" i="1"/>
  <c r="AE33" i="1"/>
  <c r="AG32" i="1"/>
  <c r="AF32" i="1"/>
  <c r="AE32" i="1"/>
  <c r="AG31" i="1"/>
  <c r="AF31" i="1"/>
  <c r="AE31" i="1"/>
  <c r="AG30" i="1"/>
  <c r="AF30" i="1"/>
  <c r="AE30" i="1"/>
  <c r="AO30" i="1" s="1"/>
  <c r="AQ30" i="1" s="1"/>
  <c r="AG29" i="1"/>
  <c r="AF29" i="1"/>
  <c r="AE29" i="1"/>
  <c r="AG28" i="1"/>
  <c r="AF28" i="1"/>
  <c r="AE28" i="1"/>
  <c r="AG27" i="1"/>
  <c r="AF27" i="1"/>
  <c r="AE27" i="1"/>
  <c r="AG25" i="1"/>
  <c r="AF25" i="1"/>
  <c r="AE25" i="1"/>
  <c r="AO25" i="1" s="1"/>
  <c r="AQ25" i="1" s="1"/>
  <c r="AG23" i="1"/>
  <c r="AF23" i="1"/>
  <c r="AE23" i="1"/>
  <c r="AG22" i="1"/>
  <c r="AF22" i="1"/>
  <c r="AE22" i="1"/>
  <c r="AG20" i="1"/>
  <c r="AF20" i="1"/>
  <c r="AE20" i="1"/>
  <c r="AG19" i="1"/>
  <c r="AF19" i="1"/>
  <c r="AE19" i="1"/>
  <c r="AO19" i="1" s="1"/>
  <c r="AQ19" i="1" s="1"/>
  <c r="AG18" i="1"/>
  <c r="AF18" i="1"/>
  <c r="AE18" i="1"/>
  <c r="AG17" i="1"/>
  <c r="AF17" i="1"/>
  <c r="AE17" i="1"/>
  <c r="AG16" i="1"/>
  <c r="AF16" i="1"/>
  <c r="AE16" i="1"/>
  <c r="AG15" i="1"/>
  <c r="AF15" i="1"/>
  <c r="AE15" i="1"/>
  <c r="AO15" i="1" s="1"/>
  <c r="AQ15" i="1" s="1"/>
  <c r="AG14" i="1"/>
  <c r="AF14" i="1"/>
  <c r="AE14" i="1"/>
  <c r="AG13" i="1"/>
  <c r="AF13" i="1"/>
  <c r="AE13" i="1"/>
  <c r="AG12" i="1"/>
  <c r="AF12" i="1"/>
  <c r="AE12" i="1"/>
  <c r="AG10" i="1"/>
  <c r="AF10" i="1"/>
  <c r="AE10" i="1"/>
  <c r="AO10" i="1" s="1"/>
  <c r="AQ10" i="1" s="1"/>
  <c r="AG9" i="1"/>
  <c r="AF9" i="1"/>
  <c r="AE9" i="1"/>
  <c r="AG8" i="1"/>
  <c r="AF8" i="1"/>
  <c r="AE8" i="1"/>
  <c r="AG5" i="1"/>
  <c r="AF5" i="1"/>
  <c r="AE5" i="1"/>
  <c r="AO390" i="1" l="1"/>
  <c r="AQ390" i="1" s="1"/>
  <c r="AO14" i="1"/>
  <c r="AQ14" i="1" s="1"/>
  <c r="AO18" i="1"/>
  <c r="AQ18" i="1" s="1"/>
  <c r="AO23" i="1"/>
  <c r="AQ23" i="1" s="1"/>
  <c r="AO29" i="1"/>
  <c r="AQ29" i="1" s="1"/>
  <c r="AO33" i="1"/>
  <c r="AQ33" i="1" s="1"/>
  <c r="AO48" i="1"/>
  <c r="AQ48" i="1" s="1"/>
  <c r="AO52" i="1"/>
  <c r="AQ52" i="1" s="1"/>
  <c r="AO59" i="1"/>
  <c r="AQ59" i="1" s="1"/>
  <c r="AO64" i="1"/>
  <c r="AQ64" i="1" s="1"/>
  <c r="AO69" i="1"/>
  <c r="AQ69" i="1" s="1"/>
  <c r="AO75" i="1"/>
  <c r="AQ75" i="1" s="1"/>
  <c r="AO79" i="1"/>
  <c r="AQ79" i="1" s="1"/>
  <c r="AO83" i="1"/>
  <c r="AQ83" i="1" s="1"/>
  <c r="AO88" i="1"/>
  <c r="AQ88" i="1" s="1"/>
  <c r="AO94" i="1"/>
  <c r="AQ94" i="1" s="1"/>
  <c r="AO98" i="1"/>
  <c r="AQ98" i="1" s="1"/>
  <c r="AO104" i="1"/>
  <c r="AQ104" i="1" s="1"/>
  <c r="AO108" i="1"/>
  <c r="AQ108" i="1" s="1"/>
  <c r="AO114" i="1"/>
  <c r="AQ114" i="1" s="1"/>
  <c r="AO118" i="1"/>
  <c r="AQ118" i="1" s="1"/>
  <c r="AO122" i="1"/>
  <c r="AQ122" i="1" s="1"/>
  <c r="AO126" i="1"/>
  <c r="AQ126" i="1" s="1"/>
  <c r="AO131" i="1"/>
  <c r="AQ131" i="1" s="1"/>
  <c r="AO135" i="1"/>
  <c r="AQ135" i="1" s="1"/>
  <c r="AO139" i="1"/>
  <c r="AQ139" i="1" s="1"/>
  <c r="AO143" i="1"/>
  <c r="AQ143" i="1" s="1"/>
  <c r="AO147" i="1"/>
  <c r="AQ147" i="1" s="1"/>
  <c r="AO151" i="1"/>
  <c r="AQ151" i="1" s="1"/>
  <c r="AO155" i="1"/>
  <c r="AQ155" i="1" s="1"/>
  <c r="AO159" i="1"/>
  <c r="AQ159" i="1" s="1"/>
  <c r="AO163" i="1"/>
  <c r="AQ163" i="1" s="1"/>
  <c r="AO168" i="1"/>
  <c r="AQ168" i="1" s="1"/>
  <c r="AO172" i="1"/>
  <c r="AQ172" i="1" s="1"/>
  <c r="AO178" i="1"/>
  <c r="AQ178" i="1" s="1"/>
  <c r="AO182" i="1"/>
  <c r="AQ182" i="1" s="1"/>
  <c r="AO186" i="1"/>
  <c r="AQ186" i="1" s="1"/>
  <c r="AO191" i="1"/>
  <c r="AQ191" i="1" s="1"/>
  <c r="AO201" i="1"/>
  <c r="AQ201" i="1" s="1"/>
  <c r="AO208" i="1"/>
  <c r="AQ208" i="1" s="1"/>
  <c r="AO212" i="1"/>
  <c r="AQ212" i="1" s="1"/>
  <c r="AO216" i="1"/>
  <c r="AQ216" i="1" s="1"/>
  <c r="AO220" i="1"/>
  <c r="AQ220" i="1" s="1"/>
  <c r="AO226" i="1"/>
  <c r="AQ226" i="1" s="1"/>
  <c r="AO230" i="1"/>
  <c r="AQ230" i="1" s="1"/>
  <c r="AO234" i="1"/>
  <c r="AQ234" i="1" s="1"/>
  <c r="AO238" i="1"/>
  <c r="AQ238" i="1" s="1"/>
  <c r="AO245" i="1"/>
  <c r="AQ245" i="1" s="1"/>
  <c r="AO249" i="1"/>
  <c r="AQ249" i="1" s="1"/>
  <c r="AO253" i="1"/>
  <c r="AQ253" i="1" s="1"/>
  <c r="AO258" i="1"/>
  <c r="AQ258" i="1" s="1"/>
  <c r="AO263" i="1"/>
  <c r="AQ263" i="1" s="1"/>
  <c r="AO270" i="1"/>
  <c r="AQ270" i="1" s="1"/>
  <c r="AO274" i="1"/>
  <c r="AQ274" i="1" s="1"/>
  <c r="AO278" i="1"/>
  <c r="AQ278" i="1" s="1"/>
  <c r="AO282" i="1"/>
  <c r="AQ282" i="1" s="1"/>
  <c r="AO287" i="1"/>
  <c r="AQ287" i="1" s="1"/>
  <c r="AO295" i="1"/>
  <c r="AQ295" i="1" s="1"/>
  <c r="AO299" i="1"/>
  <c r="AQ299" i="1" s="1"/>
  <c r="AO303" i="1"/>
  <c r="AQ303" i="1" s="1"/>
  <c r="AO307" i="1"/>
  <c r="AQ307" i="1" s="1"/>
  <c r="AO312" i="1"/>
  <c r="AQ312" i="1" s="1"/>
  <c r="AO317" i="1"/>
  <c r="AQ317" i="1" s="1"/>
  <c r="AO321" i="1"/>
  <c r="AQ321" i="1" s="1"/>
  <c r="AO325" i="1"/>
  <c r="AQ325" i="1" s="1"/>
  <c r="AO329" i="1"/>
  <c r="AQ329" i="1" s="1"/>
  <c r="AO333" i="1"/>
  <c r="AQ333" i="1" s="1"/>
  <c r="AO337" i="1"/>
  <c r="AQ337" i="1" s="1"/>
  <c r="AO341" i="1"/>
  <c r="AQ341" i="1" s="1"/>
  <c r="AO345" i="1"/>
  <c r="AQ345" i="1" s="1"/>
  <c r="AO349" i="1"/>
  <c r="AQ349" i="1" s="1"/>
  <c r="AO354" i="1"/>
  <c r="AQ354" i="1" s="1"/>
  <c r="AO360" i="1"/>
  <c r="AQ360" i="1" s="1"/>
  <c r="AO366" i="1"/>
  <c r="AQ366" i="1" s="1"/>
  <c r="AO372" i="1"/>
  <c r="AQ372" i="1" s="1"/>
  <c r="AO377" i="1"/>
  <c r="AQ377" i="1" s="1"/>
  <c r="AO382" i="1"/>
  <c r="AQ382" i="1" s="1"/>
  <c r="AO387" i="1"/>
  <c r="AQ387" i="1" s="1"/>
  <c r="AO9" i="1"/>
  <c r="AQ9" i="1" s="1"/>
  <c r="AO8" i="1"/>
  <c r="AQ8" i="1" s="1"/>
  <c r="AO13" i="1"/>
  <c r="AQ13" i="1" s="1"/>
  <c r="AO17" i="1"/>
  <c r="AQ17" i="1" s="1"/>
  <c r="AO22" i="1"/>
  <c r="AQ22" i="1" s="1"/>
  <c r="AO28" i="1"/>
  <c r="AQ28" i="1" s="1"/>
  <c r="AO32" i="1"/>
  <c r="AQ32" i="1" s="1"/>
  <c r="AO47" i="1"/>
  <c r="AQ47" i="1" s="1"/>
  <c r="AO51" i="1"/>
  <c r="AQ51" i="1" s="1"/>
  <c r="AO57" i="1"/>
  <c r="AQ57" i="1" s="1"/>
  <c r="AO63" i="1"/>
  <c r="AQ63" i="1" s="1"/>
  <c r="AO68" i="1"/>
  <c r="AQ68" i="1" s="1"/>
  <c r="AO72" i="1"/>
  <c r="AQ72" i="1" s="1"/>
  <c r="AO78" i="1"/>
  <c r="AQ78" i="1" s="1"/>
  <c r="AO82" i="1"/>
  <c r="AQ82" i="1" s="1"/>
  <c r="AO87" i="1"/>
  <c r="AQ87" i="1" s="1"/>
  <c r="AO93" i="1"/>
  <c r="AQ93" i="1" s="1"/>
  <c r="AO97" i="1"/>
  <c r="AQ97" i="1" s="1"/>
  <c r="AO102" i="1"/>
  <c r="AQ102" i="1" s="1"/>
  <c r="AO107" i="1"/>
  <c r="AQ107" i="1" s="1"/>
  <c r="AO112" i="1"/>
  <c r="AQ112" i="1" s="1"/>
  <c r="AO117" i="1"/>
  <c r="AQ117" i="1" s="1"/>
  <c r="AO121" i="1"/>
  <c r="AQ121" i="1" s="1"/>
  <c r="AO125" i="1"/>
  <c r="AQ125" i="1" s="1"/>
  <c r="AO130" i="1"/>
  <c r="AQ130" i="1" s="1"/>
  <c r="AO134" i="1"/>
  <c r="AQ134" i="1" s="1"/>
  <c r="AO138" i="1"/>
  <c r="AQ138" i="1" s="1"/>
  <c r="AO142" i="1"/>
  <c r="AQ142" i="1" s="1"/>
  <c r="AO146" i="1"/>
  <c r="AQ146" i="1" s="1"/>
  <c r="AO150" i="1"/>
  <c r="AQ150" i="1" s="1"/>
  <c r="AO154" i="1"/>
  <c r="AQ154" i="1" s="1"/>
  <c r="AO158" i="1"/>
  <c r="AQ158" i="1" s="1"/>
  <c r="AO162" i="1"/>
  <c r="AQ162" i="1" s="1"/>
  <c r="AO167" i="1"/>
  <c r="AQ167" i="1" s="1"/>
  <c r="AO171" i="1"/>
  <c r="AQ171" i="1" s="1"/>
  <c r="AO177" i="1"/>
  <c r="AQ177" i="1" s="1"/>
  <c r="AO181" i="1"/>
  <c r="AQ181" i="1" s="1"/>
  <c r="AO185" i="1"/>
  <c r="AQ185" i="1" s="1"/>
  <c r="AO190" i="1"/>
  <c r="AQ190" i="1" s="1"/>
  <c r="AO196" i="1"/>
  <c r="AQ196" i="1" s="1"/>
  <c r="AO205" i="1"/>
  <c r="AQ205" i="1" s="1"/>
  <c r="AO211" i="1"/>
  <c r="AQ211" i="1" s="1"/>
  <c r="AO215" i="1"/>
  <c r="AQ215" i="1" s="1"/>
  <c r="AO219" i="1"/>
  <c r="AQ219" i="1" s="1"/>
  <c r="AO225" i="1"/>
  <c r="AQ225" i="1" s="1"/>
  <c r="AO229" i="1"/>
  <c r="AQ229" i="1" s="1"/>
  <c r="AO233" i="1"/>
  <c r="AQ233" i="1" s="1"/>
  <c r="AO237" i="1"/>
  <c r="AQ237" i="1" s="1"/>
  <c r="AO241" i="1"/>
  <c r="AQ241" i="1" s="1"/>
  <c r="AO248" i="1"/>
  <c r="AQ248" i="1" s="1"/>
  <c r="AO252" i="1"/>
  <c r="AQ252" i="1" s="1"/>
  <c r="AO257" i="1"/>
  <c r="AQ257" i="1" s="1"/>
  <c r="AO262" i="1"/>
  <c r="AQ262" i="1" s="1"/>
  <c r="AO269" i="1"/>
  <c r="AQ269" i="1" s="1"/>
  <c r="AO273" i="1"/>
  <c r="AQ273" i="1" s="1"/>
  <c r="AO277" i="1"/>
  <c r="AQ277" i="1" s="1"/>
  <c r="AO281" i="1"/>
  <c r="AQ281" i="1" s="1"/>
  <c r="AO285" i="1"/>
  <c r="AQ285" i="1" s="1"/>
  <c r="AO294" i="1"/>
  <c r="AQ294" i="1" s="1"/>
  <c r="AO298" i="1"/>
  <c r="AQ298" i="1" s="1"/>
  <c r="AO302" i="1"/>
  <c r="AQ302" i="1" s="1"/>
  <c r="AO306" i="1"/>
  <c r="AQ306" i="1" s="1"/>
  <c r="AO311" i="1"/>
  <c r="AQ311" i="1" s="1"/>
  <c r="AO316" i="1"/>
  <c r="AQ316" i="1" s="1"/>
  <c r="AO320" i="1"/>
  <c r="AQ320" i="1" s="1"/>
  <c r="AO324" i="1"/>
  <c r="AQ324" i="1" s="1"/>
  <c r="AO328" i="1"/>
  <c r="AQ328" i="1" s="1"/>
  <c r="AO332" i="1"/>
  <c r="AQ332" i="1" s="1"/>
  <c r="AO336" i="1"/>
  <c r="AQ336" i="1" s="1"/>
  <c r="AO340" i="1"/>
  <c r="AQ340" i="1" s="1"/>
  <c r="AO344" i="1"/>
  <c r="AQ344" i="1" s="1"/>
  <c r="AO348" i="1"/>
  <c r="AQ348" i="1" s="1"/>
  <c r="AO353" i="1"/>
  <c r="AQ353" i="1" s="1"/>
  <c r="AO358" i="1"/>
  <c r="AQ358" i="1" s="1"/>
  <c r="AO365" i="1"/>
  <c r="AQ365" i="1" s="1"/>
  <c r="AO371" i="1"/>
  <c r="AQ371" i="1" s="1"/>
  <c r="AO375" i="1"/>
  <c r="AQ375" i="1" s="1"/>
  <c r="AO380" i="1"/>
  <c r="AQ380" i="1" s="1"/>
  <c r="AO385" i="1"/>
  <c r="AQ385" i="1" s="1"/>
  <c r="AO391" i="1"/>
  <c r="AQ391" i="1" s="1"/>
  <c r="AO5" i="1"/>
  <c r="AQ5" i="1" s="1"/>
  <c r="AO12" i="1"/>
  <c r="AQ12" i="1" s="1"/>
  <c r="AO16" i="1"/>
  <c r="AQ16" i="1" s="1"/>
  <c r="AO20" i="1"/>
  <c r="AQ20" i="1" s="1"/>
  <c r="AO27" i="1"/>
  <c r="AQ27" i="1" s="1"/>
  <c r="AO31" i="1"/>
  <c r="AQ31" i="1" s="1"/>
  <c r="AO41" i="1"/>
  <c r="AQ41" i="1" s="1"/>
  <c r="AO50" i="1"/>
  <c r="AQ50" i="1" s="1"/>
  <c r="AO54" i="1"/>
  <c r="AQ54" i="1" s="1"/>
  <c r="AO62" i="1"/>
  <c r="AQ62" i="1" s="1"/>
  <c r="AO66" i="1"/>
  <c r="AQ66" i="1" s="1"/>
  <c r="AO71" i="1"/>
  <c r="AQ71" i="1" s="1"/>
  <c r="AO77" i="1"/>
  <c r="AQ77" i="1" s="1"/>
  <c r="AO81" i="1"/>
  <c r="AQ81" i="1" s="1"/>
  <c r="AO85" i="1"/>
  <c r="AQ85" i="1" s="1"/>
  <c r="AO90" i="1"/>
  <c r="AQ90" i="1" s="1"/>
  <c r="AO96" i="1"/>
  <c r="AQ96" i="1" s="1"/>
  <c r="AO100" i="1"/>
  <c r="AQ100" i="1" s="1"/>
  <c r="AO106" i="1"/>
  <c r="AQ106" i="1" s="1"/>
  <c r="AO110" i="1"/>
  <c r="AQ110" i="1" s="1"/>
  <c r="AO116" i="1"/>
  <c r="AQ116" i="1" s="1"/>
  <c r="AO120" i="1"/>
  <c r="AQ120" i="1" s="1"/>
  <c r="AO124" i="1"/>
  <c r="AQ124" i="1" s="1"/>
  <c r="AO129" i="1"/>
  <c r="AQ129" i="1" s="1"/>
  <c r="AO133" i="1"/>
  <c r="AQ133" i="1" s="1"/>
  <c r="AO137" i="1"/>
  <c r="AQ137" i="1" s="1"/>
  <c r="AO141" i="1"/>
  <c r="AQ141" i="1" s="1"/>
  <c r="AO145" i="1"/>
  <c r="AQ145" i="1" s="1"/>
  <c r="AO149" i="1"/>
  <c r="AQ149" i="1" s="1"/>
  <c r="AO153" i="1"/>
  <c r="AQ153" i="1" s="1"/>
  <c r="AO157" i="1"/>
  <c r="AQ157" i="1" s="1"/>
  <c r="AO161" i="1"/>
  <c r="AQ161" i="1" s="1"/>
  <c r="AO166" i="1"/>
  <c r="AQ166" i="1" s="1"/>
  <c r="AO170" i="1"/>
  <c r="AQ170" i="1" s="1"/>
  <c r="AO174" i="1"/>
  <c r="AQ174" i="1" s="1"/>
  <c r="AO180" i="1"/>
  <c r="AQ180" i="1" s="1"/>
  <c r="AO184" i="1"/>
  <c r="AQ184" i="1" s="1"/>
  <c r="AO188" i="1"/>
  <c r="AQ188" i="1" s="1"/>
  <c r="AO195" i="1"/>
  <c r="AQ195" i="1" s="1"/>
  <c r="AO203" i="1"/>
  <c r="AQ203" i="1" s="1"/>
  <c r="AO210" i="1"/>
  <c r="AQ210" i="1" s="1"/>
  <c r="AO214" i="1"/>
  <c r="AQ214" i="1" s="1"/>
  <c r="AO218" i="1"/>
  <c r="AQ218" i="1" s="1"/>
  <c r="AO224" i="1"/>
  <c r="AQ224" i="1" s="1"/>
  <c r="AO228" i="1"/>
  <c r="AQ228" i="1" s="1"/>
  <c r="AO232" i="1"/>
  <c r="AQ232" i="1" s="1"/>
  <c r="AO236" i="1"/>
  <c r="AQ236" i="1" s="1"/>
  <c r="AO240" i="1"/>
  <c r="AQ240" i="1" s="1"/>
  <c r="AO247" i="1"/>
  <c r="AQ247" i="1" s="1"/>
  <c r="AO251" i="1"/>
  <c r="AQ251" i="1" s="1"/>
  <c r="AO256" i="1"/>
  <c r="AQ256" i="1" s="1"/>
  <c r="AO260" i="1"/>
  <c r="AQ260" i="1" s="1"/>
  <c r="AO267" i="1"/>
  <c r="AQ267" i="1" s="1"/>
  <c r="AO272" i="1"/>
  <c r="AQ272" i="1" s="1"/>
  <c r="AO276" i="1"/>
  <c r="AQ276" i="1" s="1"/>
  <c r="AO280" i="1"/>
  <c r="AQ280" i="1" s="1"/>
  <c r="AO284" i="1"/>
  <c r="AQ284" i="1" s="1"/>
  <c r="AO289" i="1"/>
  <c r="AQ289" i="1" s="1"/>
  <c r="AO297" i="1"/>
  <c r="AQ297" i="1" s="1"/>
  <c r="AO301" i="1"/>
  <c r="AQ301" i="1" s="1"/>
  <c r="AO305" i="1"/>
  <c r="AQ305" i="1" s="1"/>
  <c r="AO309" i="1"/>
  <c r="AQ309" i="1" s="1"/>
  <c r="AO314" i="1"/>
  <c r="AQ314" i="1" s="1"/>
  <c r="AO319" i="1"/>
  <c r="AQ319" i="1" s="1"/>
  <c r="AO323" i="1"/>
  <c r="AQ323" i="1" s="1"/>
  <c r="AO327" i="1"/>
  <c r="AQ327" i="1" s="1"/>
  <c r="AO331" i="1"/>
  <c r="AQ331" i="1" s="1"/>
  <c r="AO335" i="1"/>
  <c r="AQ335" i="1" s="1"/>
  <c r="AO339" i="1"/>
  <c r="AQ339" i="1" s="1"/>
  <c r="AO343" i="1"/>
  <c r="AQ343" i="1" s="1"/>
  <c r="AO347" i="1"/>
  <c r="AQ347" i="1" s="1"/>
  <c r="AO352" i="1"/>
  <c r="AQ352" i="1" s="1"/>
  <c r="AO357" i="1"/>
  <c r="AQ357" i="1" s="1"/>
  <c r="AO362" i="1"/>
  <c r="AQ362" i="1" s="1"/>
  <c r="AO370" i="1"/>
  <c r="AQ370" i="1" s="1"/>
  <c r="AO374" i="1"/>
  <c r="AQ374" i="1" s="1"/>
  <c r="AO379" i="1"/>
  <c r="AQ379" i="1" s="1"/>
  <c r="AO384" i="1"/>
  <c r="AQ384" i="1" s="1"/>
  <c r="AE11" i="1"/>
  <c r="AF11" i="1"/>
  <c r="AA3" i="1"/>
  <c r="AO11" i="1" l="1"/>
  <c r="AQ11" i="1" s="1"/>
  <c r="Z388" i="1"/>
  <c r="Z369" i="1"/>
  <c r="Z364" i="1"/>
  <c r="Z363" i="1"/>
  <c r="Z359" i="1"/>
  <c r="Z356" i="1"/>
  <c r="Z315" i="1"/>
  <c r="Z292" i="1"/>
  <c r="Z291" i="1"/>
  <c r="Z207" i="1"/>
  <c r="Z206" i="1"/>
  <c r="Z204" i="1"/>
  <c r="Z197" i="1"/>
  <c r="Z127" i="1"/>
  <c r="Z103" i="1"/>
  <c r="Z67" i="1"/>
  <c r="Z43" i="1" l="1"/>
  <c r="Z39" i="1"/>
  <c r="F1" i="3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AX1" i="3" s="1"/>
  <c r="AY1" i="3" s="1"/>
  <c r="AZ1" i="3" s="1"/>
  <c r="BA1" i="3" s="1"/>
  <c r="BB1" i="3" s="1"/>
  <c r="BC1" i="3" s="1"/>
  <c r="BD1" i="3" s="1"/>
  <c r="BE1" i="3" s="1"/>
  <c r="BF1" i="3" s="1"/>
  <c r="BG1" i="3" s="1"/>
  <c r="BH1" i="3" s="1"/>
  <c r="BI1" i="3" s="1"/>
  <c r="BJ1" i="3" s="1"/>
  <c r="BK1" i="3" s="1"/>
  <c r="BL1" i="3" s="1"/>
  <c r="BM1" i="3" s="1"/>
  <c r="BN1" i="3" s="1"/>
  <c r="BO1" i="3" s="1"/>
  <c r="BP1" i="3" s="1"/>
  <c r="BQ1" i="3" s="1"/>
  <c r="BR1" i="3" s="1"/>
  <c r="BS1" i="3" s="1"/>
  <c r="BT1" i="3" s="1"/>
  <c r="BU1" i="3" s="1"/>
  <c r="BV1" i="3" s="1"/>
  <c r="BW1" i="3" s="1"/>
  <c r="BX1" i="3" s="1"/>
  <c r="BY1" i="3" s="1"/>
  <c r="BZ1" i="3" s="1"/>
  <c r="CA1" i="3" s="1"/>
  <c r="CB1" i="3" s="1"/>
  <c r="CC1" i="3" s="1"/>
  <c r="CD1" i="3" s="1"/>
  <c r="CE1" i="3" s="1"/>
  <c r="CF1" i="3" s="1"/>
  <c r="CG1" i="3" s="1"/>
  <c r="CH1" i="3" s="1"/>
  <c r="CI1" i="3" s="1"/>
  <c r="CJ1" i="3" s="1"/>
  <c r="CK1" i="3" s="1"/>
  <c r="CL1" i="3" s="1"/>
  <c r="CM1" i="3" s="1"/>
  <c r="CN1" i="3" s="1"/>
  <c r="CO1" i="3" s="1"/>
  <c r="CP1" i="3" s="1"/>
  <c r="CQ1" i="3" s="1"/>
  <c r="CR1" i="3" s="1"/>
  <c r="CS1" i="3" s="1"/>
  <c r="CT1" i="3" s="1"/>
  <c r="CU1" i="3" s="1"/>
  <c r="CV1" i="3" s="1"/>
  <c r="CW1" i="3" s="1"/>
  <c r="CX1" i="3" s="1"/>
  <c r="CY1" i="3" s="1"/>
  <c r="CZ1" i="3" s="1"/>
  <c r="DA1" i="3" s="1"/>
  <c r="DB1" i="3" s="1"/>
  <c r="DC1" i="3" s="1"/>
  <c r="DD1" i="3" s="1"/>
  <c r="DE1" i="3" s="1"/>
  <c r="DF1" i="3" s="1"/>
  <c r="DG1" i="3" s="1"/>
  <c r="DH1" i="3" s="1"/>
  <c r="DI1" i="3" s="1"/>
  <c r="DJ1" i="3" s="1"/>
  <c r="DK1" i="3" s="1"/>
  <c r="DL1" i="3" s="1"/>
  <c r="DM1" i="3" s="1"/>
  <c r="DN1" i="3" s="1"/>
  <c r="DO1" i="3" s="1"/>
  <c r="X368" i="1"/>
  <c r="W350" i="1"/>
  <c r="Y356" i="1" l="1"/>
  <c r="V356" i="1"/>
  <c r="R350" i="1"/>
  <c r="P350" i="1"/>
  <c r="O350" i="1"/>
  <c r="N350" i="1"/>
  <c r="P368" i="1"/>
  <c r="O368" i="1"/>
  <c r="N368" i="1"/>
  <c r="M368" i="1"/>
  <c r="P356" i="1"/>
  <c r="O356" i="1"/>
  <c r="M356" i="1"/>
  <c r="M350" i="1"/>
  <c r="L350" i="1"/>
  <c r="K350" i="1"/>
  <c r="J368" i="1"/>
  <c r="I368" i="1"/>
  <c r="H368" i="1"/>
  <c r="G368" i="1"/>
  <c r="F368" i="1"/>
  <c r="S244" i="1"/>
  <c r="J244" i="1"/>
  <c r="I244" i="1"/>
  <c r="R192" i="1"/>
  <c r="AL192" i="1" s="1"/>
  <c r="AL244" i="1" l="1"/>
  <c r="AF244" i="1"/>
  <c r="AE244" i="1"/>
  <c r="AG244" i="1"/>
  <c r="AG192" i="1"/>
  <c r="AF192" i="1"/>
  <c r="AE192" i="1"/>
  <c r="Y73" i="1"/>
  <c r="M73" i="1"/>
  <c r="W58" i="1"/>
  <c r="U38" i="1"/>
  <c r="Y268" i="1"/>
  <c r="R101" i="1"/>
  <c r="W103" i="1"/>
  <c r="T103" i="1"/>
  <c r="U103" i="1"/>
  <c r="T165" i="1"/>
  <c r="AL165" i="1" s="1"/>
  <c r="AP391" i="1"/>
  <c r="AP390" i="1"/>
  <c r="AP389" i="1"/>
  <c r="AP388" i="1"/>
  <c r="AP387" i="1"/>
  <c r="AP386" i="1"/>
  <c r="AP385" i="1"/>
  <c r="AP384" i="1"/>
  <c r="AP383" i="1"/>
  <c r="AP382" i="1"/>
  <c r="AP381" i="1"/>
  <c r="AP380" i="1"/>
  <c r="AP379" i="1"/>
  <c r="AP378" i="1"/>
  <c r="AP377" i="1"/>
  <c r="AP376" i="1"/>
  <c r="AP375" i="1"/>
  <c r="AP374" i="1"/>
  <c r="AP373" i="1"/>
  <c r="AP372" i="1"/>
  <c r="AP371" i="1"/>
  <c r="AP370" i="1"/>
  <c r="AP369" i="1"/>
  <c r="AP368" i="1"/>
  <c r="AP367" i="1"/>
  <c r="AP366" i="1"/>
  <c r="AP365" i="1"/>
  <c r="AP364" i="1"/>
  <c r="AP363" i="1"/>
  <c r="AP362" i="1"/>
  <c r="AP361" i="1"/>
  <c r="AP360" i="1"/>
  <c r="AP359" i="1"/>
  <c r="AP358" i="1"/>
  <c r="AP357" i="1"/>
  <c r="AP356" i="1"/>
  <c r="AP355" i="1"/>
  <c r="AP354" i="1"/>
  <c r="AP353" i="1"/>
  <c r="AP352" i="1"/>
  <c r="AP351" i="1"/>
  <c r="AP350" i="1"/>
  <c r="AP349" i="1"/>
  <c r="AP348" i="1"/>
  <c r="AP347" i="1"/>
  <c r="AP346" i="1"/>
  <c r="AP345" i="1"/>
  <c r="AP344" i="1"/>
  <c r="AP343" i="1"/>
  <c r="AP342" i="1"/>
  <c r="AP341" i="1"/>
  <c r="AP340" i="1"/>
  <c r="AP339" i="1"/>
  <c r="AP338" i="1"/>
  <c r="AP337" i="1"/>
  <c r="AP336" i="1"/>
  <c r="AP335" i="1"/>
  <c r="AP334" i="1"/>
  <c r="AP333" i="1"/>
  <c r="AP332" i="1"/>
  <c r="AP331" i="1"/>
  <c r="AP330" i="1"/>
  <c r="AP329" i="1"/>
  <c r="AP328" i="1"/>
  <c r="AP327" i="1"/>
  <c r="AP326" i="1"/>
  <c r="AP325" i="1"/>
  <c r="AP324" i="1"/>
  <c r="AP323" i="1"/>
  <c r="AP322" i="1"/>
  <c r="AP321" i="1"/>
  <c r="AP320" i="1"/>
  <c r="AP319" i="1"/>
  <c r="AP318" i="1"/>
  <c r="AP317" i="1"/>
  <c r="AP316" i="1"/>
  <c r="AP315" i="1"/>
  <c r="AP314" i="1"/>
  <c r="AP313" i="1"/>
  <c r="AP312" i="1"/>
  <c r="AP311" i="1"/>
  <c r="AP309" i="1"/>
  <c r="AP308" i="1"/>
  <c r="AP307" i="1"/>
  <c r="AP306" i="1"/>
  <c r="AP305" i="1"/>
  <c r="AP304" i="1"/>
  <c r="AP303" i="1"/>
  <c r="AP302" i="1"/>
  <c r="AP301" i="1"/>
  <c r="AP300" i="1"/>
  <c r="AP299" i="1"/>
  <c r="AP298" i="1"/>
  <c r="AP297" i="1"/>
  <c r="AP296" i="1"/>
  <c r="AP295" i="1"/>
  <c r="AP294" i="1"/>
  <c r="AP293" i="1"/>
  <c r="AP292" i="1"/>
  <c r="AP291" i="1"/>
  <c r="AP290" i="1"/>
  <c r="AP289" i="1"/>
  <c r="AP288" i="1"/>
  <c r="AP287" i="1"/>
  <c r="AP286" i="1"/>
  <c r="AP285" i="1"/>
  <c r="AP284" i="1"/>
  <c r="AP283" i="1"/>
  <c r="AP282" i="1"/>
  <c r="AP281" i="1"/>
  <c r="AP280" i="1"/>
  <c r="AP279" i="1"/>
  <c r="AP278" i="1"/>
  <c r="AP277" i="1"/>
  <c r="AP276" i="1"/>
  <c r="AP275" i="1"/>
  <c r="AP274" i="1"/>
  <c r="AP273" i="1"/>
  <c r="AP272" i="1"/>
  <c r="AP271" i="1"/>
  <c r="AP270" i="1"/>
  <c r="AP269" i="1"/>
  <c r="AP268" i="1"/>
  <c r="AP267" i="1"/>
  <c r="AP266" i="1"/>
  <c r="AP265" i="1"/>
  <c r="AP264" i="1"/>
  <c r="AP263" i="1"/>
  <c r="AP262" i="1"/>
  <c r="AP261" i="1"/>
  <c r="AP260" i="1"/>
  <c r="AP259" i="1"/>
  <c r="AP258" i="1"/>
  <c r="AP257" i="1"/>
  <c r="AP256" i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Z56" i="1"/>
  <c r="Z55" i="1"/>
  <c r="Z46" i="1"/>
  <c r="Z44" i="1"/>
  <c r="Z42" i="1"/>
  <c r="Z40" i="1"/>
  <c r="Z35" i="1"/>
  <c r="Z34" i="1"/>
  <c r="Z6" i="1"/>
  <c r="Z4" i="1"/>
  <c r="Y388" i="1"/>
  <c r="Y369" i="1"/>
  <c r="Y368" i="1"/>
  <c r="Y364" i="1"/>
  <c r="Y363" i="1"/>
  <c r="Y359" i="1"/>
  <c r="Y350" i="1"/>
  <c r="Y315" i="1"/>
  <c r="Y286" i="1"/>
  <c r="Y290" i="1"/>
  <c r="AL73" i="1" l="1"/>
  <c r="AO192" i="1"/>
  <c r="AQ192" i="1" s="1"/>
  <c r="AO244" i="1"/>
  <c r="AQ244" i="1" s="1"/>
  <c r="AG165" i="1"/>
  <c r="AF165" i="1"/>
  <c r="AE165" i="1"/>
  <c r="AE73" i="1"/>
  <c r="AG73" i="1"/>
  <c r="AF73" i="1"/>
  <c r="Y222" i="1"/>
  <c r="Y207" i="1"/>
  <c r="Y206" i="1"/>
  <c r="Y204" i="1"/>
  <c r="Y197" i="1"/>
  <c r="Y103" i="1"/>
  <c r="Y92" i="1"/>
  <c r="Y46" i="1"/>
  <c r="Y45" i="1"/>
  <c r="Y44" i="1"/>
  <c r="Y43" i="1"/>
  <c r="Y42" i="1"/>
  <c r="Y40" i="1"/>
  <c r="Y39" i="1"/>
  <c r="Y24" i="1"/>
  <c r="AO73" i="1" l="1"/>
  <c r="AQ73" i="1" s="1"/>
  <c r="AO165" i="1"/>
  <c r="AQ165" i="1" s="1"/>
  <c r="Y6" i="1"/>
  <c r="AK380" i="1"/>
  <c r="AK379" i="1"/>
  <c r="AK378" i="1"/>
  <c r="AK377" i="1"/>
  <c r="AK375" i="1"/>
  <c r="AK374" i="1"/>
  <c r="AK373" i="1"/>
  <c r="AK372" i="1"/>
  <c r="AK371" i="1"/>
  <c r="AK370" i="1"/>
  <c r="AK367" i="1"/>
  <c r="AK366" i="1"/>
  <c r="AK365" i="1"/>
  <c r="AK362" i="1"/>
  <c r="AK361" i="1"/>
  <c r="AK360" i="1"/>
  <c r="AK358" i="1"/>
  <c r="AK357" i="1"/>
  <c r="AK355" i="1"/>
  <c r="AK354" i="1"/>
  <c r="AK353" i="1"/>
  <c r="AK352" i="1"/>
  <c r="AK351" i="1"/>
  <c r="AK349" i="1"/>
  <c r="AK348" i="1"/>
  <c r="AK347" i="1"/>
  <c r="AK346" i="1"/>
  <c r="AK345" i="1"/>
  <c r="AK344" i="1"/>
  <c r="AK343" i="1"/>
  <c r="AK342" i="1"/>
  <c r="AK341" i="1"/>
  <c r="AK340" i="1"/>
  <c r="AK339" i="1"/>
  <c r="AK338" i="1"/>
  <c r="AK337" i="1"/>
  <c r="AK336" i="1"/>
  <c r="AK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4" i="1"/>
  <c r="AK313" i="1"/>
  <c r="AK312" i="1"/>
  <c r="AK311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89" i="1"/>
  <c r="AK288" i="1"/>
  <c r="AK287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7" i="1"/>
  <c r="AK266" i="1"/>
  <c r="AK263" i="1"/>
  <c r="AK262" i="1"/>
  <c r="AK260" i="1"/>
  <c r="AK259" i="1"/>
  <c r="AK258" i="1"/>
  <c r="AK257" i="1"/>
  <c r="AK256" i="1"/>
  <c r="AK254" i="1"/>
  <c r="AK253" i="1"/>
  <c r="AK252" i="1"/>
  <c r="AK251" i="1"/>
  <c r="AK250" i="1"/>
  <c r="AK249" i="1"/>
  <c r="AK248" i="1"/>
  <c r="AK247" i="1"/>
  <c r="AK246" i="1"/>
  <c r="AK245" i="1"/>
  <c r="AK244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5" i="1"/>
  <c r="AK203" i="1"/>
  <c r="AK202" i="1"/>
  <c r="AK201" i="1"/>
  <c r="AK196" i="1"/>
  <c r="AK195" i="1"/>
  <c r="AK194" i="1"/>
  <c r="AK192" i="1"/>
  <c r="AK191" i="1"/>
  <c r="AK190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2" i="1"/>
  <c r="AK110" i="1"/>
  <c r="AK109" i="1"/>
  <c r="AK108" i="1"/>
  <c r="AK107" i="1"/>
  <c r="AK106" i="1"/>
  <c r="AK105" i="1"/>
  <c r="AK104" i="1"/>
  <c r="AK102" i="1"/>
  <c r="AK100" i="1"/>
  <c r="AK99" i="1"/>
  <c r="AK98" i="1"/>
  <c r="AK97" i="1"/>
  <c r="AK96" i="1"/>
  <c r="AK95" i="1"/>
  <c r="AK94" i="1"/>
  <c r="AK93" i="1"/>
  <c r="AK90" i="1"/>
  <c r="AK89" i="1"/>
  <c r="AK88" i="1"/>
  <c r="AK87" i="1"/>
  <c r="AK85" i="1"/>
  <c r="AK84" i="1"/>
  <c r="AK83" i="1"/>
  <c r="AK82" i="1"/>
  <c r="AK81" i="1"/>
  <c r="AK80" i="1"/>
  <c r="AK79" i="1"/>
  <c r="AK78" i="1"/>
  <c r="AK77" i="1"/>
  <c r="AK76" i="1"/>
  <c r="AK75" i="1"/>
  <c r="AK73" i="1"/>
  <c r="AK72" i="1"/>
  <c r="AK71" i="1"/>
  <c r="AK70" i="1"/>
  <c r="AK69" i="1"/>
  <c r="AK68" i="1"/>
  <c r="AK66" i="1"/>
  <c r="AK65" i="1"/>
  <c r="AK64" i="1"/>
  <c r="AK63" i="1"/>
  <c r="AK62" i="1"/>
  <c r="AK61" i="1"/>
  <c r="AK59" i="1"/>
  <c r="AK57" i="1"/>
  <c r="AK54" i="1"/>
  <c r="AK53" i="1"/>
  <c r="AK52" i="1"/>
  <c r="AK51" i="1"/>
  <c r="AK50" i="1"/>
  <c r="AK49" i="1"/>
  <c r="AK48" i="1"/>
  <c r="AK47" i="1"/>
  <c r="AK41" i="1"/>
  <c r="AK37" i="1"/>
  <c r="AK33" i="1"/>
  <c r="AK32" i="1"/>
  <c r="AK31" i="1"/>
  <c r="AK30" i="1"/>
  <c r="AK29" i="1"/>
  <c r="AK28" i="1"/>
  <c r="AK27" i="1"/>
  <c r="AK25" i="1"/>
  <c r="AK23" i="1"/>
  <c r="AK22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5" i="1"/>
  <c r="AK391" i="1"/>
  <c r="AK390" i="1"/>
  <c r="AK389" i="1"/>
  <c r="AK387" i="1"/>
  <c r="AK385" i="1"/>
  <c r="AK384" i="1"/>
  <c r="AK383" i="1"/>
  <c r="AK382" i="1"/>
  <c r="V369" i="1"/>
  <c r="V368" i="1"/>
  <c r="V364" i="1"/>
  <c r="V363" i="1"/>
  <c r="V359" i="1"/>
  <c r="V350" i="1"/>
  <c r="V315" i="1"/>
  <c r="V292" i="1"/>
  <c r="V290" i="1"/>
  <c r="V286" i="1"/>
  <c r="V268" i="1"/>
  <c r="V222" i="1"/>
  <c r="V221" i="1"/>
  <c r="V206" i="1"/>
  <c r="V204" i="1"/>
  <c r="V197" i="1"/>
  <c r="V103" i="1"/>
  <c r="V91" i="1"/>
  <c r="V67" i="1"/>
  <c r="V55" i="1"/>
  <c r="V46" i="1"/>
  <c r="V44" i="1"/>
  <c r="V43" i="1"/>
  <c r="V42" i="1"/>
  <c r="V40" i="1"/>
  <c r="V39" i="1"/>
  <c r="V6" i="1"/>
  <c r="V4" i="1"/>
  <c r="U376" i="1"/>
  <c r="AL376" i="1" s="1"/>
  <c r="T369" i="1"/>
  <c r="U368" i="1"/>
  <c r="T368" i="1"/>
  <c r="U364" i="1"/>
  <c r="T364" i="1"/>
  <c r="U363" i="1"/>
  <c r="T363" i="1"/>
  <c r="U359" i="1"/>
  <c r="T359" i="1"/>
  <c r="U356" i="1"/>
  <c r="T356" i="1"/>
  <c r="U350" i="1"/>
  <c r="T350" i="1"/>
  <c r="AE376" i="1" l="1"/>
  <c r="AF376" i="1"/>
  <c r="AG376" i="1"/>
  <c r="AN382" i="1"/>
  <c r="AN387" i="1"/>
  <c r="AN15" i="1"/>
  <c r="AN19" i="1"/>
  <c r="AN25" i="1"/>
  <c r="AN30" i="1"/>
  <c r="AN37" i="1"/>
  <c r="AN49" i="1"/>
  <c r="AN53" i="1"/>
  <c r="AN70" i="1"/>
  <c r="AN108" i="1"/>
  <c r="AN139" i="1"/>
  <c r="AN143" i="1"/>
  <c r="AN159" i="1"/>
  <c r="AN163" i="1"/>
  <c r="AN167" i="1"/>
  <c r="AN171" i="1"/>
  <c r="AN181" i="1"/>
  <c r="AN190" i="1"/>
  <c r="AN214" i="1"/>
  <c r="AN228" i="1"/>
  <c r="AN240" i="1"/>
  <c r="AN246" i="1"/>
  <c r="AN250" i="1"/>
  <c r="AN254" i="1"/>
  <c r="AN259" i="1"/>
  <c r="AN266" i="1"/>
  <c r="AN271" i="1"/>
  <c r="AN275" i="1"/>
  <c r="AN279" i="1"/>
  <c r="AN283" i="1"/>
  <c r="AN296" i="1"/>
  <c r="AN300" i="1"/>
  <c r="AN313" i="1"/>
  <c r="AN330" i="1"/>
  <c r="AN334" i="1"/>
  <c r="AN338" i="1"/>
  <c r="AN351" i="1"/>
  <c r="AN355" i="1"/>
  <c r="AN367" i="1"/>
  <c r="AN373" i="1"/>
  <c r="AN378" i="1"/>
  <c r="AN5" i="1"/>
  <c r="AN11" i="1"/>
  <c r="AN61" i="1"/>
  <c r="AN65" i="1"/>
  <c r="AN75" i="1"/>
  <c r="AN79" i="1"/>
  <c r="AN83" i="1"/>
  <c r="AN88" i="1"/>
  <c r="AN94" i="1"/>
  <c r="AN98" i="1"/>
  <c r="AN104" i="1"/>
  <c r="AN114" i="1"/>
  <c r="AN118" i="1"/>
  <c r="AN122" i="1"/>
  <c r="AN126" i="1"/>
  <c r="AN131" i="1"/>
  <c r="AN135" i="1"/>
  <c r="AN147" i="1"/>
  <c r="AN151" i="1"/>
  <c r="AN155" i="1"/>
  <c r="AN177" i="1"/>
  <c r="AN185" i="1"/>
  <c r="AN195" i="1"/>
  <c r="AN203" i="1"/>
  <c r="AN210" i="1"/>
  <c r="AN218" i="1"/>
  <c r="AN224" i="1"/>
  <c r="AN232" i="1"/>
  <c r="AN236" i="1"/>
  <c r="AN288" i="1"/>
  <c r="AN304" i="1"/>
  <c r="AN308" i="1"/>
  <c r="AN318" i="1"/>
  <c r="AN322" i="1"/>
  <c r="AN326" i="1"/>
  <c r="AN342" i="1"/>
  <c r="AN346" i="1"/>
  <c r="AN361" i="1"/>
  <c r="AN383" i="1"/>
  <c r="AN389" i="1"/>
  <c r="AN8" i="1"/>
  <c r="AN12" i="1"/>
  <c r="AN16" i="1"/>
  <c r="AN20" i="1"/>
  <c r="AN27" i="1"/>
  <c r="AN31" i="1"/>
  <c r="AN41" i="1"/>
  <c r="AN50" i="1"/>
  <c r="AN54" i="1"/>
  <c r="AN62" i="1"/>
  <c r="AN66" i="1"/>
  <c r="AN71" i="1"/>
  <c r="AN76" i="1"/>
  <c r="AN80" i="1"/>
  <c r="AN84" i="1"/>
  <c r="AN89" i="1"/>
  <c r="AN95" i="1"/>
  <c r="AN99" i="1"/>
  <c r="AN105" i="1"/>
  <c r="AN109" i="1"/>
  <c r="AN115" i="1"/>
  <c r="AN119" i="1"/>
  <c r="AN123" i="1"/>
  <c r="AN128" i="1"/>
  <c r="AN132" i="1"/>
  <c r="AN136" i="1"/>
  <c r="AN140" i="1"/>
  <c r="AN144" i="1"/>
  <c r="AN148" i="1"/>
  <c r="AN152" i="1"/>
  <c r="AN156" i="1"/>
  <c r="AN160" i="1"/>
  <c r="AN164" i="1"/>
  <c r="AN168" i="1"/>
  <c r="AN172" i="1"/>
  <c r="AN178" i="1"/>
  <c r="AN182" i="1"/>
  <c r="AN186" i="1"/>
  <c r="AN191" i="1"/>
  <c r="AN196" i="1"/>
  <c r="AN205" i="1"/>
  <c r="AN211" i="1"/>
  <c r="AN215" i="1"/>
  <c r="AN219" i="1"/>
  <c r="AN225" i="1"/>
  <c r="AN229" i="1"/>
  <c r="AN233" i="1"/>
  <c r="AN237" i="1"/>
  <c r="AN241" i="1"/>
  <c r="AN247" i="1"/>
  <c r="AN251" i="1"/>
  <c r="AN256" i="1"/>
  <c r="AN260" i="1"/>
  <c r="AN267" i="1"/>
  <c r="AN272" i="1"/>
  <c r="AN276" i="1"/>
  <c r="AN280" i="1"/>
  <c r="AN284" i="1"/>
  <c r="AN289" i="1"/>
  <c r="AN297" i="1"/>
  <c r="AN301" i="1"/>
  <c r="AN327" i="1"/>
  <c r="AN331" i="1"/>
  <c r="AN335" i="1"/>
  <c r="AN305" i="1"/>
  <c r="AN309" i="1"/>
  <c r="AN339" i="1"/>
  <c r="AN314" i="1"/>
  <c r="AN319" i="1"/>
  <c r="AN323" i="1"/>
  <c r="AN343" i="1"/>
  <c r="AN347" i="1"/>
  <c r="AN352" i="1"/>
  <c r="AN357" i="1"/>
  <c r="AN362" i="1"/>
  <c r="AN370" i="1"/>
  <c r="AN374" i="1"/>
  <c r="AN379" i="1"/>
  <c r="AN385" i="1"/>
  <c r="AN391" i="1"/>
  <c r="AN10" i="1"/>
  <c r="AN14" i="1"/>
  <c r="AN18" i="1"/>
  <c r="AN23" i="1"/>
  <c r="AN29" i="1"/>
  <c r="AN33" i="1"/>
  <c r="AN48" i="1"/>
  <c r="AN52" i="1"/>
  <c r="AN59" i="1"/>
  <c r="AN64" i="1"/>
  <c r="AN69" i="1"/>
  <c r="AN78" i="1"/>
  <c r="AN82" i="1"/>
  <c r="AN87" i="1"/>
  <c r="AN93" i="1"/>
  <c r="AN97" i="1"/>
  <c r="AN102" i="1"/>
  <c r="AN107" i="1"/>
  <c r="AN112" i="1"/>
  <c r="AN117" i="1"/>
  <c r="AN121" i="1"/>
  <c r="AN125" i="1"/>
  <c r="AN130" i="1"/>
  <c r="AN134" i="1"/>
  <c r="AN138" i="1"/>
  <c r="AN142" i="1"/>
  <c r="AN146" i="1"/>
  <c r="AN150" i="1"/>
  <c r="AN154" i="1"/>
  <c r="AN158" i="1"/>
  <c r="AN162" i="1"/>
  <c r="AN166" i="1"/>
  <c r="AN170" i="1"/>
  <c r="AN174" i="1"/>
  <c r="AN180" i="1"/>
  <c r="AN184" i="1"/>
  <c r="AN188" i="1"/>
  <c r="AN194" i="1"/>
  <c r="AN202" i="1"/>
  <c r="AN209" i="1"/>
  <c r="AN213" i="1"/>
  <c r="AN217" i="1"/>
  <c r="AN223" i="1"/>
  <c r="AN227" i="1"/>
  <c r="AN231" i="1"/>
  <c r="AN235" i="1"/>
  <c r="AN239" i="1"/>
  <c r="AN245" i="1"/>
  <c r="AN249" i="1"/>
  <c r="AN253" i="1"/>
  <c r="AN258" i="1"/>
  <c r="AN263" i="1"/>
  <c r="AN270" i="1"/>
  <c r="AN274" i="1"/>
  <c r="AN278" i="1"/>
  <c r="AN282" i="1"/>
  <c r="AN287" i="1"/>
  <c r="AN295" i="1"/>
  <c r="AN299" i="1"/>
  <c r="AN303" i="1"/>
  <c r="AN307" i="1"/>
  <c r="AN312" i="1"/>
  <c r="AN317" i="1"/>
  <c r="AN321" i="1"/>
  <c r="AN325" i="1"/>
  <c r="AN329" i="1"/>
  <c r="AN333" i="1"/>
  <c r="AN337" i="1"/>
  <c r="AN341" i="1"/>
  <c r="AN345" i="1"/>
  <c r="AN349" i="1"/>
  <c r="AN354" i="1"/>
  <c r="AN360" i="1"/>
  <c r="AN366" i="1"/>
  <c r="AN372" i="1"/>
  <c r="AN377" i="1"/>
  <c r="AN384" i="1"/>
  <c r="AN390" i="1"/>
  <c r="AN9" i="1"/>
  <c r="AN13" i="1"/>
  <c r="AN17" i="1"/>
  <c r="AN22" i="1"/>
  <c r="AN28" i="1"/>
  <c r="AN32" i="1"/>
  <c r="AN47" i="1"/>
  <c r="AN51" i="1"/>
  <c r="AN57" i="1"/>
  <c r="AN63" i="1"/>
  <c r="AN68" i="1"/>
  <c r="AN72" i="1"/>
  <c r="AN77" i="1"/>
  <c r="AN81" i="1"/>
  <c r="AN85" i="1"/>
  <c r="AN90" i="1"/>
  <c r="AN96" i="1"/>
  <c r="AN100" i="1"/>
  <c r="AN106" i="1"/>
  <c r="AN110" i="1"/>
  <c r="AN116" i="1"/>
  <c r="AN120" i="1"/>
  <c r="AN124" i="1"/>
  <c r="AN129" i="1"/>
  <c r="AN133" i="1"/>
  <c r="AN137" i="1"/>
  <c r="AN141" i="1"/>
  <c r="AN145" i="1"/>
  <c r="AN149" i="1"/>
  <c r="AN153" i="1"/>
  <c r="AN157" i="1"/>
  <c r="AN161" i="1"/>
  <c r="AN169" i="1"/>
  <c r="AN173" i="1"/>
  <c r="AN179" i="1"/>
  <c r="AN183" i="1"/>
  <c r="AN187" i="1"/>
  <c r="AN201" i="1"/>
  <c r="AN208" i="1"/>
  <c r="AN212" i="1"/>
  <c r="AN216" i="1"/>
  <c r="AN220" i="1"/>
  <c r="AN226" i="1"/>
  <c r="AN230" i="1"/>
  <c r="AN234" i="1"/>
  <c r="AN238" i="1"/>
  <c r="AN248" i="1"/>
  <c r="AN252" i="1"/>
  <c r="AN257" i="1"/>
  <c r="AN262" i="1"/>
  <c r="AN269" i="1"/>
  <c r="AN273" i="1"/>
  <c r="AN277" i="1"/>
  <c r="AN281" i="1"/>
  <c r="AN285" i="1"/>
  <c r="AN294" i="1"/>
  <c r="AN298" i="1"/>
  <c r="AN302" i="1"/>
  <c r="AN306" i="1"/>
  <c r="AN311" i="1"/>
  <c r="AN316" i="1"/>
  <c r="AN320" i="1"/>
  <c r="AN324" i="1"/>
  <c r="AN328" i="1"/>
  <c r="AN332" i="1"/>
  <c r="AN336" i="1"/>
  <c r="AN340" i="1"/>
  <c r="AN344" i="1"/>
  <c r="AN348" i="1"/>
  <c r="AN353" i="1"/>
  <c r="AN358" i="1"/>
  <c r="AN365" i="1"/>
  <c r="AN371" i="1"/>
  <c r="AN375" i="1"/>
  <c r="AN380" i="1"/>
  <c r="AN73" i="1"/>
  <c r="AN165" i="1"/>
  <c r="AN192" i="1"/>
  <c r="AN244" i="1"/>
  <c r="U315" i="1"/>
  <c r="U293" i="1"/>
  <c r="AL293" i="1" s="1"/>
  <c r="U292" i="1"/>
  <c r="U291" i="1"/>
  <c r="U290" i="1"/>
  <c r="T290" i="1"/>
  <c r="U268" i="1"/>
  <c r="T243" i="1"/>
  <c r="U222" i="1"/>
  <c r="T222" i="1"/>
  <c r="U206" i="1"/>
  <c r="T176" i="1"/>
  <c r="U204" i="1"/>
  <c r="T204" i="1"/>
  <c r="U199" i="1"/>
  <c r="T199" i="1"/>
  <c r="U197" i="1"/>
  <c r="T197" i="1"/>
  <c r="T189" i="1"/>
  <c r="U111" i="1"/>
  <c r="AL111" i="1" s="1"/>
  <c r="T92" i="1"/>
  <c r="AL92" i="1" s="1"/>
  <c r="U91" i="1"/>
  <c r="T86" i="1"/>
  <c r="AL86" i="1" s="1"/>
  <c r="U67" i="1"/>
  <c r="T67" i="1"/>
  <c r="AK376" i="1" l="1"/>
  <c r="AO376" i="1"/>
  <c r="AQ376" i="1" s="1"/>
  <c r="AF111" i="1"/>
  <c r="AE111" i="1"/>
  <c r="AG111" i="1"/>
  <c r="AE86" i="1"/>
  <c r="AF86" i="1"/>
  <c r="AG86" i="1"/>
  <c r="AG92" i="1"/>
  <c r="AF92" i="1"/>
  <c r="AE92" i="1"/>
  <c r="AG293" i="1"/>
  <c r="AF293" i="1"/>
  <c r="AE293" i="1"/>
  <c r="AN376" i="1"/>
  <c r="AK111" i="1"/>
  <c r="U60" i="1"/>
  <c r="T58" i="1"/>
  <c r="AL58" i="1" s="1"/>
  <c r="T55" i="1"/>
  <c r="U46" i="1"/>
  <c r="T46" i="1"/>
  <c r="U45" i="1"/>
  <c r="T45" i="1"/>
  <c r="T44" i="1"/>
  <c r="U42" i="1"/>
  <c r="T42" i="1"/>
  <c r="U40" i="1"/>
  <c r="T40" i="1"/>
  <c r="T39" i="1"/>
  <c r="U36" i="1"/>
  <c r="AL36" i="1" s="1"/>
  <c r="T35" i="1"/>
  <c r="U34" i="1"/>
  <c r="T34" i="1"/>
  <c r="U6" i="1"/>
  <c r="T6" i="1"/>
  <c r="T4" i="1"/>
  <c r="S388" i="1"/>
  <c r="S368" i="1"/>
  <c r="S364" i="1"/>
  <c r="S363" i="1"/>
  <c r="S356" i="1"/>
  <c r="S350" i="1"/>
  <c r="S207" i="1"/>
  <c r="S206" i="1"/>
  <c r="S197" i="1"/>
  <c r="S103" i="1"/>
  <c r="S67" i="1"/>
  <c r="S46" i="1"/>
  <c r="S43" i="1"/>
  <c r="S42" i="1"/>
  <c r="S40" i="1"/>
  <c r="S24" i="1"/>
  <c r="S6" i="1"/>
  <c r="N388" i="1"/>
  <c r="M388" i="1"/>
  <c r="P369" i="1"/>
  <c r="O369" i="1"/>
  <c r="M369" i="1"/>
  <c r="P364" i="1"/>
  <c r="O364" i="1"/>
  <c r="N364" i="1"/>
  <c r="P363" i="1"/>
  <c r="N363" i="1"/>
  <c r="M363" i="1"/>
  <c r="M359" i="1"/>
  <c r="AO111" i="1" l="1"/>
  <c r="AQ111" i="1" s="1"/>
  <c r="AK92" i="1"/>
  <c r="AO92" i="1"/>
  <c r="AQ92" i="1" s="1"/>
  <c r="AK293" i="1"/>
  <c r="AO293" i="1"/>
  <c r="AQ293" i="1" s="1"/>
  <c r="AK86" i="1"/>
  <c r="AO86" i="1"/>
  <c r="AQ86" i="1" s="1"/>
  <c r="AE58" i="1"/>
  <c r="AG58" i="1"/>
  <c r="AF58" i="1"/>
  <c r="AG36" i="1"/>
  <c r="AF36" i="1"/>
  <c r="AE36" i="1"/>
  <c r="AN92" i="1"/>
  <c r="AN86" i="1"/>
  <c r="AN293" i="1"/>
  <c r="AN111" i="1"/>
  <c r="O315" i="1"/>
  <c r="N315" i="1"/>
  <c r="M315" i="1"/>
  <c r="O292" i="1"/>
  <c r="M292" i="1"/>
  <c r="O268" i="1"/>
  <c r="N268" i="1"/>
  <c r="O264" i="1"/>
  <c r="N264" i="1"/>
  <c r="O261" i="1"/>
  <c r="M243" i="1"/>
  <c r="P222" i="1"/>
  <c r="O222" i="1"/>
  <c r="M222" i="1"/>
  <c r="P206" i="1"/>
  <c r="O206" i="1"/>
  <c r="N206" i="1"/>
  <c r="P204" i="1"/>
  <c r="O204" i="1"/>
  <c r="M204" i="1"/>
  <c r="P199" i="1"/>
  <c r="O199" i="1"/>
  <c r="M199" i="1"/>
  <c r="P197" i="1"/>
  <c r="O197" i="1"/>
  <c r="N197" i="1"/>
  <c r="M197" i="1"/>
  <c r="M193" i="1"/>
  <c r="N176" i="1"/>
  <c r="M176" i="1"/>
  <c r="M175" i="1"/>
  <c r="M127" i="1"/>
  <c r="AL127" i="1" s="1"/>
  <c r="P103" i="1"/>
  <c r="O103" i="1"/>
  <c r="N103" i="1"/>
  <c r="M103" i="1"/>
  <c r="O101" i="1"/>
  <c r="M101" i="1"/>
  <c r="P91" i="1"/>
  <c r="AL91" i="1" s="1"/>
  <c r="P67" i="1"/>
  <c r="O67" i="1"/>
  <c r="N67" i="1"/>
  <c r="M67" i="1"/>
  <c r="O56" i="1"/>
  <c r="AL56" i="1" s="1"/>
  <c r="P55" i="1"/>
  <c r="O55" i="1"/>
  <c r="P46" i="1"/>
  <c r="N45" i="1"/>
  <c r="M45" i="1"/>
  <c r="N44" i="1"/>
  <c r="M44" i="1"/>
  <c r="AK58" i="1" l="1"/>
  <c r="AO58" i="1"/>
  <c r="AQ58" i="1" s="1"/>
  <c r="AK36" i="1"/>
  <c r="AO36" i="1"/>
  <c r="AQ36" i="1" s="1"/>
  <c r="AL264" i="1"/>
  <c r="AL176" i="1"/>
  <c r="AG56" i="1"/>
  <c r="AF56" i="1"/>
  <c r="AE56" i="1"/>
  <c r="AE242" i="1"/>
  <c r="AG242" i="1"/>
  <c r="AF242" i="1"/>
  <c r="AF91" i="1"/>
  <c r="AG91" i="1"/>
  <c r="AE91" i="1"/>
  <c r="AF127" i="1"/>
  <c r="AG127" i="1"/>
  <c r="AE127" i="1"/>
  <c r="AG176" i="1"/>
  <c r="AF176" i="1"/>
  <c r="AE176" i="1"/>
  <c r="AF264" i="1"/>
  <c r="AE264" i="1"/>
  <c r="AG264" i="1"/>
  <c r="AN36" i="1"/>
  <c r="AN58" i="1"/>
  <c r="P43" i="1"/>
  <c r="O43" i="1"/>
  <c r="N43" i="1"/>
  <c r="M43" i="1"/>
  <c r="P42" i="1"/>
  <c r="O42" i="1"/>
  <c r="N42" i="1"/>
  <c r="M42" i="1"/>
  <c r="O40" i="1"/>
  <c r="N40" i="1"/>
  <c r="M40" i="1"/>
  <c r="P39" i="1"/>
  <c r="N39" i="1"/>
  <c r="M39" i="1"/>
  <c r="P34" i="1"/>
  <c r="N34" i="1"/>
  <c r="P24" i="1"/>
  <c r="O24" i="1"/>
  <c r="M24" i="1"/>
  <c r="N21" i="1"/>
  <c r="N7" i="1"/>
  <c r="AL7" i="1" s="1"/>
  <c r="P6" i="1"/>
  <c r="O6" i="1"/>
  <c r="N6" i="1"/>
  <c r="M6" i="1"/>
  <c r="O4" i="1"/>
  <c r="N4" i="1"/>
  <c r="M4" i="1"/>
  <c r="R388" i="1"/>
  <c r="R368" i="1"/>
  <c r="R364" i="1"/>
  <c r="R363" i="1"/>
  <c r="R359" i="1"/>
  <c r="R356" i="1"/>
  <c r="R315" i="1"/>
  <c r="R290" i="1"/>
  <c r="R286" i="1"/>
  <c r="R268" i="1"/>
  <c r="R261" i="1"/>
  <c r="AG261" i="1" s="1"/>
  <c r="R207" i="1"/>
  <c r="R206" i="1"/>
  <c r="R204" i="1"/>
  <c r="R199" i="1"/>
  <c r="R198" i="1"/>
  <c r="AL198" i="1" s="1"/>
  <c r="R197" i="1"/>
  <c r="R193" i="1"/>
  <c r="R103" i="1"/>
  <c r="R67" i="1"/>
  <c r="R60" i="1"/>
  <c r="AL60" i="1" s="1"/>
  <c r="R46" i="1"/>
  <c r="R45" i="1"/>
  <c r="R44" i="1"/>
  <c r="R43" i="1"/>
  <c r="R42" i="1"/>
  <c r="R40" i="1"/>
  <c r="R39" i="1"/>
  <c r="R38" i="1"/>
  <c r="R34" i="1"/>
  <c r="R24" i="1"/>
  <c r="R21" i="1"/>
  <c r="R6" i="1"/>
  <c r="R4" i="1"/>
  <c r="Q381" i="1"/>
  <c r="Q368" i="1"/>
  <c r="Q364" i="1"/>
  <c r="Q363" i="1"/>
  <c r="Q359" i="1"/>
  <c r="Q356" i="1"/>
  <c r="Q350" i="1"/>
  <c r="Q268" i="1"/>
  <c r="Q206" i="1"/>
  <c r="Q204" i="1"/>
  <c r="Q199" i="1"/>
  <c r="Q197" i="1"/>
  <c r="Q189" i="1"/>
  <c r="AL189" i="1" s="1"/>
  <c r="Q113" i="1"/>
  <c r="Q67" i="1"/>
  <c r="Q46" i="1"/>
  <c r="Q43" i="1"/>
  <c r="Q42" i="1"/>
  <c r="Q21" i="1"/>
  <c r="Q6" i="1"/>
  <c r="G388" i="1"/>
  <c r="J381" i="1"/>
  <c r="I381" i="1"/>
  <c r="H381" i="1"/>
  <c r="G381" i="1"/>
  <c r="F381" i="1"/>
  <c r="I369" i="1"/>
  <c r="H369" i="1"/>
  <c r="G369" i="1"/>
  <c r="J364" i="1"/>
  <c r="I364" i="1"/>
  <c r="H364" i="1"/>
  <c r="G364" i="1"/>
  <c r="J363" i="1"/>
  <c r="I363" i="1"/>
  <c r="H363" i="1"/>
  <c r="G363" i="1"/>
  <c r="F363" i="1"/>
  <c r="H359" i="1"/>
  <c r="G359" i="1"/>
  <c r="F359" i="1"/>
  <c r="J356" i="1"/>
  <c r="I356" i="1"/>
  <c r="H356" i="1"/>
  <c r="G356" i="1"/>
  <c r="F356" i="1"/>
  <c r="J350" i="1"/>
  <c r="I350" i="1"/>
  <c r="G350" i="1"/>
  <c r="H350" i="1"/>
  <c r="G315" i="1"/>
  <c r="J292" i="1"/>
  <c r="I292" i="1"/>
  <c r="G292" i="1"/>
  <c r="J290" i="1"/>
  <c r="H290" i="1"/>
  <c r="G290" i="1"/>
  <c r="F290" i="1"/>
  <c r="H286" i="1"/>
  <c r="J286" i="1"/>
  <c r="I286" i="1"/>
  <c r="G286" i="1"/>
  <c r="F286" i="1"/>
  <c r="I268" i="1"/>
  <c r="G268" i="1"/>
  <c r="G243" i="1"/>
  <c r="AL243" i="1" s="1"/>
  <c r="H206" i="1"/>
  <c r="J204" i="1"/>
  <c r="I204" i="1"/>
  <c r="G204" i="1"/>
  <c r="F204" i="1"/>
  <c r="J199" i="1"/>
  <c r="I199" i="1"/>
  <c r="H199" i="1"/>
  <c r="G199" i="1"/>
  <c r="F199" i="1"/>
  <c r="J197" i="1"/>
  <c r="I197" i="1"/>
  <c r="H197" i="1"/>
  <c r="G197" i="1"/>
  <c r="F197" i="1"/>
  <c r="G193" i="1"/>
  <c r="G175" i="1"/>
  <c r="AL175" i="1" s="1"/>
  <c r="J103" i="1"/>
  <c r="I103" i="1"/>
  <c r="H103" i="1"/>
  <c r="G103" i="1"/>
  <c r="J74" i="1"/>
  <c r="AL74" i="1" s="1"/>
  <c r="I67" i="1"/>
  <c r="H67" i="1"/>
  <c r="G67" i="1"/>
  <c r="G55" i="1"/>
  <c r="J46" i="1"/>
  <c r="I46" i="1"/>
  <c r="H46" i="1"/>
  <c r="G46" i="1"/>
  <c r="F46" i="1"/>
  <c r="J45" i="1"/>
  <c r="G45" i="1"/>
  <c r="H44" i="1"/>
  <c r="G44" i="1"/>
  <c r="J43" i="1"/>
  <c r="I43" i="1"/>
  <c r="H43" i="1"/>
  <c r="G43" i="1"/>
  <c r="F43" i="1"/>
  <c r="J42" i="1"/>
  <c r="H42" i="1"/>
  <c r="G42" i="1"/>
  <c r="F42" i="1"/>
  <c r="J40" i="1"/>
  <c r="G40" i="1"/>
  <c r="F40" i="1"/>
  <c r="J39" i="1"/>
  <c r="G39" i="1"/>
  <c r="F39" i="1"/>
  <c r="G38" i="1"/>
  <c r="F38" i="1"/>
  <c r="G35" i="1"/>
  <c r="AL35" i="1" s="1"/>
  <c r="G34" i="1"/>
  <c r="F34" i="1"/>
  <c r="F24" i="1"/>
  <c r="G24" i="1"/>
  <c r="G21" i="1"/>
  <c r="F21" i="1"/>
  <c r="J6" i="1"/>
  <c r="I6" i="1"/>
  <c r="AK264" i="1" l="1"/>
  <c r="AO264" i="1"/>
  <c r="AQ264" i="1" s="1"/>
  <c r="AK91" i="1"/>
  <c r="AO91" i="1"/>
  <c r="AQ91" i="1" s="1"/>
  <c r="AK127" i="1"/>
  <c r="AO127" i="1"/>
  <c r="AQ127" i="1" s="1"/>
  <c r="AK242" i="1"/>
  <c r="AO242" i="1"/>
  <c r="AQ242" i="1" s="1"/>
  <c r="AL193" i="1"/>
  <c r="AL21" i="1"/>
  <c r="AK176" i="1"/>
  <c r="AO176" i="1"/>
  <c r="AQ176" i="1" s="1"/>
  <c r="AK56" i="1"/>
  <c r="AO56" i="1"/>
  <c r="AQ56" i="1" s="1"/>
  <c r="AL261" i="1"/>
  <c r="AG189" i="1"/>
  <c r="AF189" i="1"/>
  <c r="AE189" i="1"/>
  <c r="AE74" i="1"/>
  <c r="AG74" i="1"/>
  <c r="AF74" i="1"/>
  <c r="AF261" i="1"/>
  <c r="AF35" i="1"/>
  <c r="AE35" i="1"/>
  <c r="AG35" i="1"/>
  <c r="AF175" i="1"/>
  <c r="AG175" i="1"/>
  <c r="AE175" i="1"/>
  <c r="AG60" i="1"/>
  <c r="AF60" i="1"/>
  <c r="AE60" i="1"/>
  <c r="AF7" i="1"/>
  <c r="AG7" i="1"/>
  <c r="AE7" i="1"/>
  <c r="AE193" i="1"/>
  <c r="AG193" i="1"/>
  <c r="AF193" i="1"/>
  <c r="AE243" i="1"/>
  <c r="AG243" i="1"/>
  <c r="AF243" i="1"/>
  <c r="AE198" i="1"/>
  <c r="AG198" i="1"/>
  <c r="AF198" i="1"/>
  <c r="AG21" i="1"/>
  <c r="AE21" i="1"/>
  <c r="AF21" i="1"/>
  <c r="AE261" i="1"/>
  <c r="AN176" i="1"/>
  <c r="AN264" i="1"/>
  <c r="AN91" i="1"/>
  <c r="AN242" i="1"/>
  <c r="AN56" i="1"/>
  <c r="AN127" i="1"/>
  <c r="AK175" i="1"/>
  <c r="AK60" i="1"/>
  <c r="AK7" i="1"/>
  <c r="H6" i="1"/>
  <c r="G6" i="1"/>
  <c r="F6" i="1"/>
  <c r="AO175" i="1" l="1"/>
  <c r="AQ175" i="1" s="1"/>
  <c r="AK261" i="1"/>
  <c r="AO261" i="1"/>
  <c r="AQ261" i="1" s="1"/>
  <c r="AK193" i="1"/>
  <c r="AO193" i="1"/>
  <c r="AQ193" i="1" s="1"/>
  <c r="AO60" i="1"/>
  <c r="AQ60" i="1" s="1"/>
  <c r="AK74" i="1"/>
  <c r="AO74" i="1"/>
  <c r="AQ74" i="1" s="1"/>
  <c r="AK243" i="1"/>
  <c r="AO243" i="1"/>
  <c r="AQ243" i="1" s="1"/>
  <c r="AK189" i="1"/>
  <c r="AO189" i="1"/>
  <c r="AQ189" i="1" s="1"/>
  <c r="AK35" i="1"/>
  <c r="AO35" i="1"/>
  <c r="AQ35" i="1" s="1"/>
  <c r="AO7" i="1"/>
  <c r="AQ7" i="1" s="1"/>
  <c r="AK21" i="1"/>
  <c r="AO21" i="1"/>
  <c r="AQ21" i="1" s="1"/>
  <c r="AK198" i="1"/>
  <c r="AO198" i="1"/>
  <c r="AQ198" i="1" s="1"/>
  <c r="AN261" i="1"/>
  <c r="AN189" i="1"/>
  <c r="AN60" i="1"/>
  <c r="AN35" i="1"/>
  <c r="AN74" i="1"/>
  <c r="AN7" i="1"/>
  <c r="AN198" i="1"/>
  <c r="AN175" i="1"/>
  <c r="AN21" i="1"/>
  <c r="AN243" i="1"/>
  <c r="AN193" i="1"/>
  <c r="W6" i="1"/>
  <c r="Z3" i="1"/>
  <c r="N255" i="1" l="1"/>
  <c r="AL255" i="1" s="1"/>
  <c r="W39" i="1"/>
  <c r="W40" i="1"/>
  <c r="W42" i="1"/>
  <c r="W43" i="1"/>
  <c r="W46" i="1"/>
  <c r="W67" i="1"/>
  <c r="W197" i="1"/>
  <c r="W199" i="1"/>
  <c r="W204" i="1"/>
  <c r="W207" i="1"/>
  <c r="W221" i="1"/>
  <c r="W222" i="1"/>
  <c r="W265" i="1"/>
  <c r="W268" i="1"/>
  <c r="W290" i="1"/>
  <c r="W292" i="1"/>
  <c r="W356" i="1"/>
  <c r="W363" i="1"/>
  <c r="W364" i="1"/>
  <c r="W368" i="1"/>
  <c r="X38" i="1"/>
  <c r="AL38" i="1" s="1"/>
  <c r="X4" i="1"/>
  <c r="X6" i="1"/>
  <c r="X24" i="1"/>
  <c r="AL24" i="1" s="1"/>
  <c r="X26" i="1"/>
  <c r="X39" i="1"/>
  <c r="X40" i="1"/>
  <c r="X42" i="1"/>
  <c r="X43" i="1"/>
  <c r="X44" i="1"/>
  <c r="X45" i="1"/>
  <c r="AL45" i="1" s="1"/>
  <c r="X46" i="1"/>
  <c r="X67" i="1"/>
  <c r="X103" i="1"/>
  <c r="X113" i="1"/>
  <c r="AL113" i="1" s="1"/>
  <c r="X197" i="1"/>
  <c r="X199" i="1"/>
  <c r="X204" i="1"/>
  <c r="X206" i="1"/>
  <c r="X221" i="1"/>
  <c r="X222" i="1"/>
  <c r="X268" i="1"/>
  <c r="X291" i="1"/>
  <c r="AL291" i="1" s="1"/>
  <c r="X292" i="1"/>
  <c r="X315" i="1"/>
  <c r="X350" i="1"/>
  <c r="AL350" i="1" s="1"/>
  <c r="X356" i="1"/>
  <c r="X359" i="1"/>
  <c r="X363" i="1"/>
  <c r="X364" i="1"/>
  <c r="X369" i="1"/>
  <c r="X381" i="1"/>
  <c r="AL381" i="1" s="1"/>
  <c r="X386" i="1"/>
  <c r="AL386" i="1" s="1"/>
  <c r="X388" i="1"/>
  <c r="AL222" i="1" l="1"/>
  <c r="AE113" i="1"/>
  <c r="AF113" i="1"/>
  <c r="AG113" i="1"/>
  <c r="AF45" i="1"/>
  <c r="AG45" i="1"/>
  <c r="AE45" i="1"/>
  <c r="AE291" i="1"/>
  <c r="AF291" i="1"/>
  <c r="AG291" i="1"/>
  <c r="AG350" i="1"/>
  <c r="AF350" i="1"/>
  <c r="AE350" i="1"/>
  <c r="AG386" i="1"/>
  <c r="AF386" i="1"/>
  <c r="AE386" i="1"/>
  <c r="AE38" i="1"/>
  <c r="AF38" i="1"/>
  <c r="AG38" i="1"/>
  <c r="AF381" i="1"/>
  <c r="AE381" i="1"/>
  <c r="AG381" i="1"/>
  <c r="AE24" i="1"/>
  <c r="AG24" i="1"/>
  <c r="AF24" i="1"/>
  <c r="AG222" i="1"/>
  <c r="AE222" i="1"/>
  <c r="AF222" i="1"/>
  <c r="AE255" i="1"/>
  <c r="AF255" i="1"/>
  <c r="AG255" i="1"/>
  <c r="W3" i="1"/>
  <c r="L388" i="1"/>
  <c r="AL388" i="1" s="1"/>
  <c r="K369" i="1"/>
  <c r="AL369" i="1" s="1"/>
  <c r="L368" i="1"/>
  <c r="K368" i="1"/>
  <c r="L364" i="1"/>
  <c r="K364" i="1"/>
  <c r="L363" i="1"/>
  <c r="K363" i="1"/>
  <c r="AL363" i="1" s="1"/>
  <c r="L359" i="1"/>
  <c r="K359" i="1"/>
  <c r="L356" i="1"/>
  <c r="K356" i="1"/>
  <c r="AL356" i="1" s="1"/>
  <c r="L315" i="1"/>
  <c r="AL315" i="1" s="1"/>
  <c r="L292" i="1"/>
  <c r="AL292" i="1" s="1"/>
  <c r="L290" i="1"/>
  <c r="K290" i="1"/>
  <c r="AL290" i="1" s="1"/>
  <c r="L286" i="1"/>
  <c r="K286" i="1"/>
  <c r="K268" i="1"/>
  <c r="AL268" i="1" s="1"/>
  <c r="L265" i="1"/>
  <c r="AL265" i="1" s="1"/>
  <c r="L221" i="1"/>
  <c r="AL221" i="1" s="1"/>
  <c r="L207" i="1"/>
  <c r="K207" i="1"/>
  <c r="L206" i="1"/>
  <c r="K206" i="1"/>
  <c r="L204" i="1"/>
  <c r="K204" i="1"/>
  <c r="L199" i="1"/>
  <c r="K199" i="1"/>
  <c r="L197" i="1"/>
  <c r="K197" i="1"/>
  <c r="L103" i="1"/>
  <c r="K103" i="1"/>
  <c r="L101" i="1"/>
  <c r="AL101" i="1" s="1"/>
  <c r="K67" i="1"/>
  <c r="AL67" i="1" s="1"/>
  <c r="AL368" i="1" l="1"/>
  <c r="AK291" i="1"/>
  <c r="AO291" i="1"/>
  <c r="AQ291" i="1" s="1"/>
  <c r="AK222" i="1"/>
  <c r="AO222" i="1"/>
  <c r="AQ222" i="1" s="1"/>
  <c r="AK24" i="1"/>
  <c r="AO24" i="1"/>
  <c r="AQ24" i="1" s="1"/>
  <c r="AK45" i="1"/>
  <c r="AO45" i="1"/>
  <c r="AQ45" i="1" s="1"/>
  <c r="AK386" i="1"/>
  <c r="AO386" i="1"/>
  <c r="AQ386" i="1" s="1"/>
  <c r="AK113" i="1"/>
  <c r="AO113" i="1"/>
  <c r="AQ113" i="1" s="1"/>
  <c r="AL103" i="1"/>
  <c r="AL199" i="1"/>
  <c r="AL206" i="1"/>
  <c r="AK255" i="1"/>
  <c r="AO255" i="1"/>
  <c r="AQ255" i="1" s="1"/>
  <c r="AK381" i="1"/>
  <c r="AO381" i="1"/>
  <c r="AQ381" i="1" s="1"/>
  <c r="AK38" i="1"/>
  <c r="AO38" i="1"/>
  <c r="AQ38" i="1" s="1"/>
  <c r="AK350" i="1"/>
  <c r="AO350" i="1"/>
  <c r="AQ350" i="1" s="1"/>
  <c r="AL197" i="1"/>
  <c r="AL204" i="1"/>
  <c r="AL207" i="1"/>
  <c r="AL286" i="1"/>
  <c r="AL359" i="1"/>
  <c r="AL364" i="1"/>
  <c r="AG197" i="1"/>
  <c r="AE197" i="1"/>
  <c r="AF197" i="1"/>
  <c r="AF268" i="1"/>
  <c r="AG268" i="1"/>
  <c r="AE268" i="1"/>
  <c r="AG356" i="1"/>
  <c r="AF356" i="1"/>
  <c r="AE356" i="1"/>
  <c r="AF368" i="1"/>
  <c r="AG368" i="1"/>
  <c r="AE368" i="1"/>
  <c r="AF67" i="1"/>
  <c r="AE67" i="1"/>
  <c r="AG67" i="1"/>
  <c r="AE207" i="1"/>
  <c r="AF207" i="1"/>
  <c r="AG207" i="1"/>
  <c r="AF363" i="1"/>
  <c r="AG363" i="1"/>
  <c r="AE363" i="1"/>
  <c r="AG286" i="1"/>
  <c r="AF286" i="1"/>
  <c r="AE286" i="1"/>
  <c r="AE206" i="1"/>
  <c r="AG206" i="1"/>
  <c r="AF206" i="1"/>
  <c r="AG364" i="1"/>
  <c r="AF364" i="1"/>
  <c r="AE364" i="1"/>
  <c r="AG101" i="1"/>
  <c r="AF101" i="1"/>
  <c r="AE101" i="1"/>
  <c r="AF292" i="1"/>
  <c r="AE292" i="1"/>
  <c r="AG292" i="1"/>
  <c r="AF103" i="1"/>
  <c r="AG103" i="1"/>
  <c r="AE103" i="1"/>
  <c r="AG199" i="1"/>
  <c r="AE199" i="1"/>
  <c r="AF199" i="1"/>
  <c r="AG221" i="1"/>
  <c r="AF221" i="1"/>
  <c r="AE221" i="1"/>
  <c r="AE315" i="1"/>
  <c r="AG315" i="1"/>
  <c r="AF315" i="1"/>
  <c r="AG359" i="1"/>
  <c r="AF359" i="1"/>
  <c r="AE359" i="1"/>
  <c r="AE369" i="1"/>
  <c r="AG369" i="1"/>
  <c r="AF369" i="1"/>
  <c r="AG265" i="1"/>
  <c r="AF265" i="1"/>
  <c r="AE265" i="1"/>
  <c r="AG290" i="1"/>
  <c r="AE290" i="1"/>
  <c r="AF290" i="1"/>
  <c r="AG388" i="1"/>
  <c r="AE388" i="1"/>
  <c r="AF388" i="1"/>
  <c r="AG204" i="1"/>
  <c r="AE204" i="1"/>
  <c r="AF204" i="1"/>
  <c r="AN291" i="1"/>
  <c r="AN255" i="1"/>
  <c r="AN113" i="1"/>
  <c r="AN24" i="1"/>
  <c r="AN381" i="1"/>
  <c r="AN38" i="1"/>
  <c r="AN222" i="1"/>
  <c r="AN350" i="1"/>
  <c r="AN386" i="1"/>
  <c r="AN45" i="1"/>
  <c r="AK199" i="1"/>
  <c r="AK290" i="1"/>
  <c r="AK204" i="1"/>
  <c r="AK368" i="1"/>
  <c r="L55" i="1"/>
  <c r="K55" i="1"/>
  <c r="L46" i="1"/>
  <c r="K46" i="1"/>
  <c r="L44" i="1"/>
  <c r="K44" i="1"/>
  <c r="L43" i="1"/>
  <c r="K43" i="1"/>
  <c r="L42" i="1"/>
  <c r="K42" i="1"/>
  <c r="L40" i="1"/>
  <c r="K40" i="1"/>
  <c r="L39" i="1"/>
  <c r="K39" i="1"/>
  <c r="L34" i="1"/>
  <c r="K34" i="1"/>
  <c r="L26" i="1"/>
  <c r="K26" i="1"/>
  <c r="L6" i="1"/>
  <c r="K6" i="1"/>
  <c r="L4" i="1"/>
  <c r="AL4" i="1" s="1"/>
  <c r="AO290" i="1" l="1"/>
  <c r="AQ290" i="1" s="1"/>
  <c r="AO204" i="1"/>
  <c r="AQ204" i="1" s="1"/>
  <c r="AO199" i="1"/>
  <c r="AQ199" i="1" s="1"/>
  <c r="AK359" i="1"/>
  <c r="AO359" i="1"/>
  <c r="AQ359" i="1" s="1"/>
  <c r="AL26" i="1"/>
  <c r="AL39" i="1"/>
  <c r="AL42" i="1"/>
  <c r="AL44" i="1"/>
  <c r="AL55" i="1"/>
  <c r="AK388" i="1"/>
  <c r="AO388" i="1"/>
  <c r="AQ388" i="1" s="1"/>
  <c r="AK315" i="1"/>
  <c r="AO315" i="1"/>
  <c r="AQ315" i="1" s="1"/>
  <c r="AK364" i="1"/>
  <c r="AO364" i="1"/>
  <c r="AQ364" i="1" s="1"/>
  <c r="AK67" i="1"/>
  <c r="AO67" i="1"/>
  <c r="AQ67" i="1" s="1"/>
  <c r="AK268" i="1"/>
  <c r="AO268" i="1"/>
  <c r="AQ268" i="1" s="1"/>
  <c r="AK197" i="1"/>
  <c r="AO197" i="1"/>
  <c r="AQ197" i="1" s="1"/>
  <c r="AK103" i="1"/>
  <c r="AO103" i="1"/>
  <c r="AQ103" i="1" s="1"/>
  <c r="AK265" i="1"/>
  <c r="AO265" i="1"/>
  <c r="AQ265" i="1" s="1"/>
  <c r="AK221" i="1"/>
  <c r="AO221" i="1"/>
  <c r="AQ221" i="1" s="1"/>
  <c r="AK101" i="1"/>
  <c r="AO101" i="1"/>
  <c r="AQ101" i="1" s="1"/>
  <c r="AK206" i="1"/>
  <c r="AO206" i="1"/>
  <c r="AQ206" i="1" s="1"/>
  <c r="AK363" i="1"/>
  <c r="AO363" i="1"/>
  <c r="AQ363" i="1" s="1"/>
  <c r="AK356" i="1"/>
  <c r="AO356" i="1"/>
  <c r="AQ356" i="1" s="1"/>
  <c r="AK292" i="1"/>
  <c r="AO292" i="1"/>
  <c r="AQ292" i="1" s="1"/>
  <c r="AL6" i="1"/>
  <c r="AL34" i="1"/>
  <c r="AL40" i="1"/>
  <c r="AL43" i="1"/>
  <c r="AL46" i="1"/>
  <c r="AK369" i="1"/>
  <c r="AO369" i="1"/>
  <c r="AQ369" i="1" s="1"/>
  <c r="AK286" i="1"/>
  <c r="AO286" i="1"/>
  <c r="AQ286" i="1" s="1"/>
  <c r="AK207" i="1"/>
  <c r="AO207" i="1"/>
  <c r="AQ207" i="1" s="1"/>
  <c r="AO368" i="1"/>
  <c r="AQ368" i="1" s="1"/>
  <c r="AE6" i="1"/>
  <c r="AF6" i="1"/>
  <c r="AG6" i="1"/>
  <c r="AE34" i="1"/>
  <c r="AF34" i="1"/>
  <c r="AG34" i="1"/>
  <c r="AF40" i="1"/>
  <c r="AE40" i="1"/>
  <c r="AG40" i="1"/>
  <c r="AG43" i="1"/>
  <c r="AE43" i="1"/>
  <c r="AF43" i="1"/>
  <c r="AF46" i="1"/>
  <c r="AE46" i="1"/>
  <c r="AG46" i="1"/>
  <c r="AF4" i="1"/>
  <c r="AE4" i="1"/>
  <c r="AG4" i="1"/>
  <c r="AE26" i="1"/>
  <c r="AF26" i="1"/>
  <c r="AG26" i="1"/>
  <c r="AF39" i="1"/>
  <c r="AE39" i="1"/>
  <c r="AG39" i="1"/>
  <c r="AE42" i="1"/>
  <c r="AF42" i="1"/>
  <c r="AG42" i="1"/>
  <c r="AG44" i="1"/>
  <c r="AF44" i="1"/>
  <c r="AE44" i="1"/>
  <c r="AF55" i="1"/>
  <c r="AG55" i="1"/>
  <c r="AE55" i="1"/>
  <c r="AN286" i="1"/>
  <c r="AN101" i="1"/>
  <c r="AN359" i="1"/>
  <c r="AN369" i="1"/>
  <c r="AN204" i="1"/>
  <c r="AN356" i="1"/>
  <c r="AN268" i="1"/>
  <c r="AN315" i="1"/>
  <c r="AN290" i="1"/>
  <c r="AN292" i="1"/>
  <c r="AN388" i="1"/>
  <c r="AN363" i="1"/>
  <c r="AN265" i="1"/>
  <c r="AN364" i="1"/>
  <c r="AN221" i="1"/>
  <c r="AN103" i="1"/>
  <c r="AN368" i="1"/>
  <c r="AN207" i="1"/>
  <c r="AN197" i="1"/>
  <c r="AN67" i="1"/>
  <c r="AN206" i="1"/>
  <c r="AN199" i="1"/>
  <c r="AK4" i="1"/>
  <c r="AK55" i="1"/>
  <c r="L3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Y3" i="1"/>
  <c r="X3" i="1"/>
  <c r="V3" i="1"/>
  <c r="U3" i="1"/>
  <c r="T3" i="1"/>
  <c r="S3" i="1"/>
  <c r="R3" i="1"/>
  <c r="Q3" i="1"/>
  <c r="P3" i="1"/>
  <c r="O3" i="1"/>
  <c r="N3" i="1"/>
  <c r="M3" i="1"/>
  <c r="K3" i="1"/>
  <c r="J3" i="1"/>
  <c r="I3" i="1"/>
  <c r="H3" i="1"/>
  <c r="AO55" i="1" l="1"/>
  <c r="AQ55" i="1" s="1"/>
  <c r="AO4" i="1"/>
  <c r="AQ4" i="1" s="1"/>
  <c r="AK42" i="1"/>
  <c r="AO42" i="1"/>
  <c r="AQ42" i="1" s="1"/>
  <c r="AK6" i="1"/>
  <c r="AO6" i="1"/>
  <c r="AQ6" i="1" s="1"/>
  <c r="AK40" i="1"/>
  <c r="AO40" i="1"/>
  <c r="AQ40" i="1" s="1"/>
  <c r="AK34" i="1"/>
  <c r="AO34" i="1"/>
  <c r="AQ34" i="1" s="1"/>
  <c r="AK39" i="1"/>
  <c r="AO39" i="1"/>
  <c r="AQ39" i="1" s="1"/>
  <c r="AK26" i="1"/>
  <c r="AO26" i="1"/>
  <c r="AQ26" i="1" s="1"/>
  <c r="AK43" i="1"/>
  <c r="AO43" i="1"/>
  <c r="AQ43" i="1" s="1"/>
  <c r="AK44" i="1"/>
  <c r="AO44" i="1"/>
  <c r="AQ44" i="1" s="1"/>
  <c r="AK46" i="1"/>
  <c r="AO46" i="1"/>
  <c r="AQ46" i="1" s="1"/>
  <c r="AN55" i="1"/>
  <c r="AN26" i="1"/>
  <c r="AN34" i="1"/>
  <c r="AN44" i="1"/>
  <c r="AN43" i="1"/>
  <c r="AN39" i="1"/>
  <c r="AN46" i="1"/>
  <c r="AN42" i="1"/>
  <c r="AN6" i="1"/>
  <c r="AN40" i="1"/>
  <c r="AN4" i="1"/>
  <c r="B38" i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4" i="1" l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G3" i="1"/>
  <c r="B199" i="1" l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F3" i="1"/>
  <c r="B310" i="1" l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Tapani Tapio</author>
  </authors>
  <commentList>
    <comment ref="AA1" authorId="0" shapeId="0" xr:uid="{99E50EC5-78EB-41BE-A0A3-2E98FDF7CBEF}">
      <text>
        <r>
          <rPr>
            <sz val="9"/>
            <color indexed="81"/>
            <rFont val="Tahoma"/>
            <family val="2"/>
          </rPr>
          <t>Hox! Vuosien 2021–2023 pvm:t perustuvat pelkästään Tiiran havaintoihin. Ne täydentyvät muista lähteistä Aureolan havaintokatsauksen kirjoittamisen yhteydessä.</t>
        </r>
      </text>
    </comment>
    <comment ref="AB1" authorId="0" shapeId="0" xr:uid="{6EC681C0-0FF3-411E-8069-8F02D9662280}">
      <text>
        <r>
          <rPr>
            <sz val="9"/>
            <color indexed="81"/>
            <rFont val="Tahoma"/>
            <family val="2"/>
          </rPr>
          <t>Hox! Vuosien 2021–2023 pvm:t perustuvat pelkästään Tiiran havaintoihin. Ne täydentyvät muista lähteistä Aureolan havaintokatsauksen kirjoittamisen yhteydessä.</t>
        </r>
      </text>
    </comment>
    <comment ref="AC1" authorId="0" shapeId="0" xr:uid="{9B3BFE5A-F5EF-42AA-A22C-B102CC6569D6}">
      <text>
        <r>
          <rPr>
            <sz val="9"/>
            <color indexed="81"/>
            <rFont val="Tahoma"/>
            <family val="2"/>
          </rPr>
          <t>Hox! Vuosien 2021–2023 pvm:t perustuvat pelkästään Tiiran havaintoihin. Ne täydentyvät muista lähteistä Aureolan havaintokatsauksen kirjoittamisen yhteydessä.</t>
        </r>
      </text>
    </comment>
    <comment ref="AC10" authorId="0" shapeId="0" xr:uid="{CE5EB07F-48CF-4C0B-B29D-02E227629568}">
      <text>
        <r>
          <rPr>
            <sz val="9"/>
            <color indexed="81"/>
            <rFont val="Tahoma"/>
            <family val="2"/>
          </rPr>
          <t xml:space="preserve">23.4.2023 Tyrnävä, Ritokorpi, Mattila.
https://www.tiira.fi/selain/naytahavis.php?id=27931720 
Joku rengas nähty vilahtavat jalassa.
</t>
        </r>
      </text>
    </comment>
    <comment ref="V111" authorId="0" shapeId="0" xr:uid="{B51505C6-C1FE-405F-929C-54261DD606AE}">
      <text>
        <r>
          <rPr>
            <sz val="9"/>
            <color indexed="81"/>
            <rFont val="Tahoma"/>
            <family val="2"/>
          </rPr>
          <t>Vuoden ainut 1.1.-1.4.2016 Oulu, Laanila, Kemiran kanava/allas</t>
        </r>
      </text>
    </comment>
    <comment ref="I290" authorId="0" shapeId="0" xr:uid="{603CC137-7DA4-48CD-B72D-46AB3A9A5D9C}">
      <text>
        <r>
          <rPr>
            <sz val="9"/>
            <color indexed="81"/>
            <rFont val="Tahoma"/>
            <family val="2"/>
          </rPr>
          <t>talvehti</t>
        </r>
      </text>
    </comment>
    <comment ref="V292" authorId="0" shapeId="0" xr:uid="{4D1BCF5F-CB62-4323-99AD-9D20EA651550}">
      <text>
        <r>
          <rPr>
            <sz val="9"/>
            <color indexed="81"/>
            <rFont val="Tahoma"/>
            <family val="2"/>
          </rPr>
          <t>29.2.2016</t>
        </r>
      </text>
    </comment>
    <comment ref="F350" authorId="0" shapeId="0" xr:uid="{2AF7DBF0-D733-40BC-B7D7-BD63DB2F86BC}">
      <text>
        <r>
          <rPr>
            <sz val="9"/>
            <color indexed="81"/>
            <rFont val="Tahoma"/>
            <family val="2"/>
          </rPr>
          <t>Tammi-helmikuulla ilmoitettiin yhteensä 10 “isolanttua”. Kevätmuuton alku sijoittui huhtikuun puoliväliin, jolloin tehtiin useita havaintoja. Suurin kevätssumma oli 19.4. LUM Sannanlahden 2p2m</t>
        </r>
      </text>
    </comment>
    <comment ref="AC368" authorId="0" shapeId="0" xr:uid="{C2B4FAEB-AC8E-4B76-BA20-68C8C2B6667A}">
      <text>
        <r>
          <rPr>
            <sz val="9"/>
            <color indexed="81"/>
            <rFont val="Tahoma"/>
            <family val="2"/>
          </rPr>
          <t>Havaintoja yhtenäisesti tammi-maaliskuussa. Hankala nimetä ensimmäsitä muuttajaa.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Tapani Tapio</author>
  </authors>
  <commentList>
    <comment ref="AA1" authorId="0" shapeId="0" xr:uid="{93A14357-6937-4B55-B60B-391DC5EFC4F6}">
      <text>
        <r>
          <rPr>
            <sz val="9"/>
            <color indexed="81"/>
            <rFont val="Tahoma"/>
            <family val="2"/>
          </rPr>
          <t>Hox! Vuosien 2021–2023 pvm:t perustuvat pelkästään Tiiran havaintoihin. Ne täydentyvät muista lähteistä Aureolan havaintokatsauksen kirjoittamisen yhteydessä.</t>
        </r>
      </text>
    </comment>
    <comment ref="AB1" authorId="0" shapeId="0" xr:uid="{3D90284C-0397-4E1A-AE7C-1F5A7E0200A2}">
      <text>
        <r>
          <rPr>
            <sz val="9"/>
            <color indexed="81"/>
            <rFont val="Tahoma"/>
            <family val="2"/>
          </rPr>
          <t>Hox! Vuosien 2021–2023 pvm:t perustuvat pelkästään Tiiran havaintoihin. Ne täydentyvät muista lähteistä Aureolan havaintokatsauksen kirjoittamisen yhteydessä.</t>
        </r>
      </text>
    </comment>
    <comment ref="AC1" authorId="0" shapeId="0" xr:uid="{E9AAD15C-8820-4B6A-93C8-E6C1839E078D}">
      <text>
        <r>
          <rPr>
            <sz val="9"/>
            <color indexed="81"/>
            <rFont val="Tahoma"/>
            <family val="2"/>
          </rPr>
          <t>Hox! Vuosien 2021–2023 pvm:t perustuvat pelkästään Tiiran havaintoihin. Ne täydentyvät muista lähteistä Aureolan havaintokatsauksen kirjoittamisen yhteydessä.</t>
        </r>
      </text>
    </comment>
    <comment ref="V111" authorId="0" shapeId="0" xr:uid="{5F937A94-9E56-4554-8E06-6B76535EEDC9}">
      <text>
        <r>
          <rPr>
            <sz val="9"/>
            <color indexed="81"/>
            <rFont val="Tahoma"/>
            <family val="2"/>
          </rPr>
          <t>Vuoden ainut 1.1.-1.4.2016 Oulu, Laanila, Kemiran kanava/allas</t>
        </r>
      </text>
    </comment>
    <comment ref="I290" authorId="0" shapeId="0" xr:uid="{976D1D05-969D-4D08-B9C9-EBCD41A7247C}">
      <text>
        <r>
          <rPr>
            <sz val="9"/>
            <color indexed="81"/>
            <rFont val="Tahoma"/>
            <family val="2"/>
          </rPr>
          <t>talvehti</t>
        </r>
      </text>
    </comment>
    <comment ref="V292" authorId="0" shapeId="0" xr:uid="{BFBC8367-DA19-4A3F-B172-C481D89BF2E7}">
      <text>
        <r>
          <rPr>
            <sz val="9"/>
            <color indexed="81"/>
            <rFont val="Tahoma"/>
            <family val="2"/>
          </rPr>
          <t>29.2.2016</t>
        </r>
      </text>
    </comment>
    <comment ref="F350" authorId="0" shapeId="0" xr:uid="{E13E86A2-66A6-4CCE-A6FA-C3A710EACC37}">
      <text>
        <r>
          <rPr>
            <sz val="9"/>
            <color indexed="81"/>
            <rFont val="Tahoma"/>
            <family val="2"/>
          </rPr>
          <t>Tammi-helmikuulla ilmoitettiin yhteensä 10 “isolanttua”. Kevätmuuton alku sijoittui huhtikuun puoliväliin, jolloin tehtiin useita havaintoja. Suurin kevätssumma oli 19.4. LUM Sannanlahden 2p2m</t>
        </r>
      </text>
    </comment>
  </commentList>
</comments>
</file>

<file path=xl/sharedStrings.xml><?xml version="1.0" encoding="utf-8"?>
<sst xmlns="http://schemas.openxmlformats.org/spreadsheetml/2006/main" count="2203" uniqueCount="403">
  <si>
    <t>PPLY:n ensihavainnot 2000-luvulla</t>
  </si>
  <si>
    <t>mediaani</t>
  </si>
  <si>
    <t>Kyhmyjoutsen</t>
  </si>
  <si>
    <t>Pikkujoutsen</t>
  </si>
  <si>
    <t>Laulujoutsen</t>
  </si>
  <si>
    <t>Metsähanhi</t>
  </si>
  <si>
    <t>Lyhytnokkahanhi</t>
  </si>
  <si>
    <t>Tundrahanhi</t>
  </si>
  <si>
    <t>Kiljuhanhi</t>
  </si>
  <si>
    <t>Merihanhi</t>
  </si>
  <si>
    <t>Kanadanhanhi</t>
  </si>
  <si>
    <t>Valkoposkihanhi</t>
  </si>
  <si>
    <t>Sepelhanhi</t>
  </si>
  <si>
    <t>Punakaulahanhi</t>
  </si>
  <si>
    <t>Ruostesorsa</t>
  </si>
  <si>
    <t>Ristisorsa</t>
  </si>
  <si>
    <t>Mandariinisorsa</t>
  </si>
  <si>
    <t>Haapana</t>
  </si>
  <si>
    <t>Amerikanhaapana</t>
  </si>
  <si>
    <t>Harmaasorsa</t>
  </si>
  <si>
    <t>Tavi</t>
  </si>
  <si>
    <t>Amerikantavi</t>
  </si>
  <si>
    <t>Sinisorsa</t>
  </si>
  <si>
    <t>Jouhisorsa</t>
  </si>
  <si>
    <t>Heinätavi</t>
  </si>
  <si>
    <t>Sinisiipitavi</t>
  </si>
  <si>
    <t>Lapasorsa</t>
  </si>
  <si>
    <t>Punapäänarsku</t>
  </si>
  <si>
    <t>Punasotka</t>
  </si>
  <si>
    <t>Amerikantukkasotka</t>
  </si>
  <si>
    <t>Tukkasotka</t>
  </si>
  <si>
    <t>Lapasotka</t>
  </si>
  <si>
    <t>Haahka</t>
  </si>
  <si>
    <t>Kyhmyhaahka</t>
  </si>
  <si>
    <t>Allihaahka</t>
  </si>
  <si>
    <t>Alli</t>
  </si>
  <si>
    <t>Mustalintu</t>
  </si>
  <si>
    <t>Pilkkaniska</t>
  </si>
  <si>
    <t>Pilkkasiipi</t>
  </si>
  <si>
    <t>Telkkä</t>
  </si>
  <si>
    <t>Uivelo</t>
  </si>
  <si>
    <t>Tukkakoskelo</t>
  </si>
  <si>
    <t>Isokoskelo</t>
  </si>
  <si>
    <t>Kuparisorsa</t>
  </si>
  <si>
    <t>Viiriäinen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</si>
  <si>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</si>
  <si>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</si>
  <si>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</si>
  <si>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</si>
  <si>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</si>
  <si>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</si>
  <si>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</si>
  <si>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</si>
  <si>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Amerikanjääkuikka</t>
  </si>
  <si>
    <t>Jääkuikka</t>
  </si>
  <si>
    <t>Pikku-uikku</t>
  </si>
  <si>
    <t>Silkkiuikku</t>
  </si>
  <si>
    <t>Härkälintu</t>
  </si>
  <si>
    <t>Mustakurkku-uikku</t>
  </si>
  <si>
    <t>Mustakaulauikku</t>
  </si>
  <si>
    <t>Myrskylintu</t>
  </si>
  <si>
    <t>Myrskykeiju</t>
  </si>
  <si>
    <t>Suula</t>
  </si>
  <si>
    <t>Merimetso</t>
  </si>
  <si>
    <t>Pelikaani</t>
  </si>
  <si>
    <t>Kaulushaikara</t>
  </si>
  <si>
    <t>Silkkihaikara</t>
  </si>
  <si>
    <t>Jalohaikara</t>
  </si>
  <si>
    <t>Harmaahaikara</t>
  </si>
  <si>
    <t>Mustahaikara</t>
  </si>
  <si>
    <t>Kattohaikara</t>
  </si>
  <si>
    <t>Pronssi-iibis</t>
  </si>
  <si>
    <t>Kapustahaikara</t>
  </si>
  <si>
    <t>Mehiläishaukka</t>
  </si>
  <si>
    <t>Haarahaukka</t>
  </si>
  <si>
    <t>Isohaarahaukka</t>
  </si>
  <si>
    <t>Merikotka</t>
  </si>
  <si>
    <t>Munkkikorppikotka</t>
  </si>
  <si>
    <t>Käärmekotka</t>
  </si>
  <si>
    <t>Ruskosuohaukka</t>
  </si>
  <si>
    <t>Sinisuohaukka</t>
  </si>
  <si>
    <t>Arosuohaukka</t>
  </si>
  <si>
    <t>Niittysuohaukka</t>
  </si>
  <si>
    <t>Kanahaukka</t>
  </si>
  <si>
    <t>Varpushaukka</t>
  </si>
  <si>
    <t>Hiirihaukka</t>
  </si>
  <si>
    <t>Piekana</t>
  </si>
  <si>
    <t>Hiirihaukkalaji</t>
  </si>
  <si>
    <t>Kiljukotka</t>
  </si>
  <si>
    <t>Pikkukiljukotka</t>
  </si>
  <si>
    <t>Pikkukotka</t>
  </si>
  <si>
    <t>Maakotka</t>
  </si>
  <si>
    <t>Arokotka</t>
  </si>
  <si>
    <t>Keisarikotka</t>
  </si>
  <si>
    <t>Sääksi</t>
  </si>
  <si>
    <t>Tuulihaukka</t>
  </si>
  <si>
    <t>Punajalkahaukka</t>
  </si>
  <si>
    <t>Ampuhaukka</t>
  </si>
  <si>
    <t>Nuolihaukka</t>
  </si>
  <si>
    <t>Tunturihaukka</t>
  </si>
  <si>
    <t>Muuttohaukka</t>
  </si>
  <si>
    <t>Luhtakana</t>
  </si>
  <si>
    <t>Luhtahuitti</t>
  </si>
  <si>
    <t>Pikkuhuitti</t>
  </si>
  <si>
    <t>Ruisrääkkä</t>
  </si>
  <si>
    <t>Liejukana</t>
  </si>
  <si>
    <t>Nokikana</t>
  </si>
  <si>
    <t>Kurki</t>
  </si>
  <si>
    <t>Hietakurki</t>
  </si>
  <si>
    <t>Neitokurki</t>
  </si>
  <si>
    <t>Isotrappi</t>
  </si>
  <si>
    <t>Paksujalka</t>
  </si>
  <si>
    <t>Pitkäjalka</t>
  </si>
  <si>
    <t>Avosetti</t>
  </si>
  <si>
    <t>Meriharakka</t>
  </si>
  <si>
    <t>Siperiankurmitsa</t>
  </si>
  <si>
    <t>Amerikankurmitsa</t>
  </si>
  <si>
    <t>siperiankurmitsa / amerikankurmitsa</t>
  </si>
  <si>
    <t>Kapustarinta</t>
  </si>
  <si>
    <t>Tundrakurmitsa</t>
  </si>
  <si>
    <t>Suohyyppä</t>
  </si>
  <si>
    <t>Töyhtöhyyppä</t>
  </si>
  <si>
    <t>Pikkutylli</t>
  </si>
  <si>
    <t>Tylli</t>
  </si>
  <si>
    <t>Mustajalkatylli</t>
  </si>
  <si>
    <t>Aavikkotylli</t>
  </si>
  <si>
    <t>Keräkurmitsa</t>
  </si>
  <si>
    <t>Pikkukuovi</t>
  </si>
  <si>
    <t>Kuovi</t>
  </si>
  <si>
    <t>Mustapyrstökuiri</t>
  </si>
  <si>
    <t>Punakuiri</t>
  </si>
  <si>
    <t>Karikukko</t>
  </si>
  <si>
    <t>Isosirri</t>
  </si>
  <si>
    <t>Suokukko</t>
  </si>
  <si>
    <t>Jänkäsirriäinen</t>
  </si>
  <si>
    <t>Kuovisirri</t>
  </si>
  <si>
    <t>Lapinsirri</t>
  </si>
  <si>
    <t>Pulmussirri</t>
  </si>
  <si>
    <t>Suosirri</t>
  </si>
  <si>
    <t>Merisirri</t>
  </si>
  <si>
    <t>Eskimosirri</t>
  </si>
  <si>
    <t>Pikkusirri</t>
  </si>
  <si>
    <t>Valkoperäsirri</t>
  </si>
  <si>
    <t>Tundravikla</t>
  </si>
  <si>
    <t>Palsasirri</t>
  </si>
  <si>
    <t>Vesipääsky</t>
  </si>
  <si>
    <t>Isovesipääsky</t>
  </si>
  <si>
    <t>Rantakurvi</t>
  </si>
  <si>
    <t>Rantasipi</t>
  </si>
  <si>
    <t>Amerikansipi</t>
  </si>
  <si>
    <t>Metsäviklo</t>
  </si>
  <si>
    <t>Mustaviklo</t>
  </si>
  <si>
    <t>Valkoviklo</t>
  </si>
  <si>
    <t>Keltajalkaviklo</t>
  </si>
  <si>
    <t>Lampiviklo</t>
  </si>
  <si>
    <t>Liro</t>
  </si>
  <si>
    <t>Punajalkaviklo</t>
  </si>
  <si>
    <t>Jänkäkurppa</t>
  </si>
  <si>
    <t>Tundrakurppelo</t>
  </si>
  <si>
    <t>Lehtokurppa</t>
  </si>
  <si>
    <t>Taivaanvuohi</t>
  </si>
  <si>
    <t>Heinäkurppa</t>
  </si>
  <si>
    <t>Aropääskykahlaaja</t>
  </si>
  <si>
    <t>Leveäpyrstökihu</t>
  </si>
  <si>
    <t>Merikihu</t>
  </si>
  <si>
    <t>Tunturikihu</t>
  </si>
  <si>
    <t>Isokihu</t>
  </si>
  <si>
    <t>Lunni</t>
  </si>
  <si>
    <t>Riskilä</t>
  </si>
  <si>
    <t>Ruokki</t>
  </si>
  <si>
    <t>Pikkuruokki</t>
  </si>
  <si>
    <t>Etelänkiisla</t>
  </si>
  <si>
    <t>Pohjankiisla</t>
  </si>
  <si>
    <t>Pikkutiira</t>
  </si>
  <si>
    <t>Hietatiira</t>
  </si>
  <si>
    <t>Räyskä</t>
  </si>
  <si>
    <t>Valkoposkitiira</t>
  </si>
  <si>
    <t>Mustatiira</t>
  </si>
  <si>
    <t>Valkosiipitiira</t>
  </si>
  <si>
    <t>Riuttatiira</t>
  </si>
  <si>
    <t>Kalatiira</t>
  </si>
  <si>
    <t>Lapintiira</t>
  </si>
  <si>
    <t>Pikkulokki</t>
  </si>
  <si>
    <t>Jäälokki</t>
  </si>
  <si>
    <t>Tiiralokki</t>
  </si>
  <si>
    <t>Pikkukajava</t>
  </si>
  <si>
    <t>Naurulokki</t>
  </si>
  <si>
    <t>Preerianaurulokki</t>
  </si>
  <si>
    <t>Välimerenlokki</t>
  </si>
  <si>
    <t>Mustanmerenlokki</t>
  </si>
  <si>
    <t>Kalalokki</t>
  </si>
  <si>
    <t>Selkälokki</t>
  </si>
  <si>
    <t>Harmaalokki</t>
  </si>
  <si>
    <t>Aroharmaalokki</t>
  </si>
  <si>
    <t>Grönlanninlokki</t>
  </si>
  <si>
    <t>Isolokki</t>
  </si>
  <si>
    <t>Merilokki</t>
  </si>
  <si>
    <t>Kesykyyhky</t>
  </si>
  <si>
    <t>Uuttukyyhky</t>
  </si>
  <si>
    <t>Sepelkyyhky</t>
  </si>
  <si>
    <t>Turkinkyyhky</t>
  </si>
  <si>
    <t>Turturikyyhky</t>
  </si>
  <si>
    <t>Idänturturikyyhky</t>
  </si>
  <si>
    <t>Käki</t>
  </si>
  <si>
    <t>Tornipöllö</t>
  </si>
  <si>
    <t>Huuhkaja</t>
  </si>
  <si>
    <t>Tunturipöllö</t>
  </si>
  <si>
    <t>Hiiripöllö</t>
  </si>
  <si>
    <t>Varpuspöllö</t>
  </si>
  <si>
    <t>Minervanpöllö</t>
  </si>
  <si>
    <t>Lehtopöllö</t>
  </si>
  <si>
    <t>Viirupöllö</t>
  </si>
  <si>
    <t>Lapinpöllö</t>
  </si>
  <si>
    <t>Sarvipöllö</t>
  </si>
  <si>
    <t>Suopöllö</t>
  </si>
  <si>
    <t>Helmipöllö</t>
  </si>
  <si>
    <t>Kehrääjä</t>
  </si>
  <si>
    <t>Tervapääsky</t>
  </si>
  <si>
    <t>Häätökiitäjä</t>
  </si>
  <si>
    <t>Kuningaskalastaja</t>
  </si>
  <si>
    <t>Mehiläissyöjä</t>
  </si>
  <si>
    <t>Sininärhi</t>
  </si>
  <si>
    <t>Harjalintu</t>
  </si>
  <si>
    <t>Käenpiika</t>
  </si>
  <si>
    <t>Harmaapäätikka</t>
  </si>
  <si>
    <t>Palokärki</t>
  </si>
  <si>
    <t>Käpytikka</t>
  </si>
  <si>
    <t>Valkoselkätikka</t>
  </si>
  <si>
    <t>Pikkutikka</t>
  </si>
  <si>
    <t>Pohjantikka</t>
  </si>
  <si>
    <t>Arokiuru</t>
  </si>
  <si>
    <t>Lyhytvarvaskiuru</t>
  </si>
  <si>
    <t>Pikkukiuru</t>
  </si>
  <si>
    <t>Töyhtökiuru</t>
  </si>
  <si>
    <t>Kangaskiuru</t>
  </si>
  <si>
    <t>Kiuru</t>
  </si>
  <si>
    <t>Tunturikiuru</t>
  </si>
  <si>
    <t>Törmäpääsky</t>
  </si>
  <si>
    <t>Haarapääsky</t>
  </si>
  <si>
    <t>Räystäspääsky</t>
  </si>
  <si>
    <t>Ruostepääsky</t>
  </si>
  <si>
    <t>Isokirvinen</t>
  </si>
  <si>
    <t>Mongoliankirvinen</t>
  </si>
  <si>
    <t>Nummikirvinen</t>
  </si>
  <si>
    <t>isokirvinen / mongoliankirvinen / nummikirvinen</t>
  </si>
  <si>
    <t xml:space="preserve"> </t>
  </si>
  <si>
    <t>Taigakirvinen</t>
  </si>
  <si>
    <t>Metsäkirvinen</t>
  </si>
  <si>
    <t>Niittykirvinen</t>
  </si>
  <si>
    <t>Lapinkirvinen</t>
  </si>
  <si>
    <t>Luotokirvinen</t>
  </si>
  <si>
    <t>Keltavästäräkki</t>
  </si>
  <si>
    <t>Sitruunavästäräkki</t>
  </si>
  <si>
    <t>Virtavästäräkki</t>
  </si>
  <si>
    <t>Västäräkki</t>
  </si>
  <si>
    <t>Tilhi</t>
  </si>
  <si>
    <t>Koskikara</t>
  </si>
  <si>
    <t>Peukaloinen</t>
  </si>
  <si>
    <t>Rautiainen</t>
  </si>
  <si>
    <t>Taigarautiainen</t>
  </si>
  <si>
    <t>Mustakurkkurautiainen</t>
  </si>
  <si>
    <t>Punarinta</t>
  </si>
  <si>
    <t>Satakieli</t>
  </si>
  <si>
    <t>Etelänsatakieli</t>
  </si>
  <si>
    <t>Sinirinta</t>
  </si>
  <si>
    <t>Rubiinisatakieli</t>
  </si>
  <si>
    <t>Sinipyrstö</t>
  </si>
  <si>
    <t>Mustaleppälintu</t>
  </si>
  <si>
    <t>Leppälintu</t>
  </si>
  <si>
    <t>Pensastasku</t>
  </si>
  <si>
    <t>Sepeltasku</t>
  </si>
  <si>
    <t>Mustapäätasku</t>
  </si>
  <si>
    <t>Arotasku</t>
  </si>
  <si>
    <t>Kivitasku</t>
  </si>
  <si>
    <t>Nunnatasku</t>
  </si>
  <si>
    <t>Aavikkotasku</t>
  </si>
  <si>
    <t>Kivikkorastas</t>
  </si>
  <si>
    <t>Kirjorastas</t>
  </si>
  <si>
    <t>Sepelrastas</t>
  </si>
  <si>
    <t>Mustarastas</t>
  </si>
  <si>
    <t>Harmaakurkkurastas</t>
  </si>
  <si>
    <t>Ruostesiipirastas</t>
  </si>
  <si>
    <t>Mustakaularastas</t>
  </si>
  <si>
    <t>Räkättirastas</t>
  </si>
  <si>
    <t>Laulurastas</t>
  </si>
  <si>
    <t>Punakylkirastas</t>
  </si>
  <si>
    <t>Kulorastas</t>
  </si>
  <si>
    <t>Sarasirkkalintu</t>
  </si>
  <si>
    <t>Viirusirkkalintu</t>
  </si>
  <si>
    <t>Pensassirkkalintu</t>
  </si>
  <si>
    <t>Viitasirkkalintu</t>
  </si>
  <si>
    <t>Ruokosirkkalintu</t>
  </si>
  <si>
    <t>Pikkukultarinta</t>
  </si>
  <si>
    <t>Kultarinta</t>
  </si>
  <si>
    <t>Ruokokerttunen</t>
  </si>
  <si>
    <t>Viitakerttunen</t>
  </si>
  <si>
    <t>Luhtakerttunen</t>
  </si>
  <si>
    <t>Rytikerttunen</t>
  </si>
  <si>
    <t>Rastaskerttunen</t>
  </si>
  <si>
    <t>Ruskokerttu</t>
  </si>
  <si>
    <t>Rusorintakerttu</t>
  </si>
  <si>
    <t>Mustakurkkukerttu</t>
  </si>
  <si>
    <t>Kirjokerttu</t>
  </si>
  <si>
    <t>Hernekerttu</t>
  </si>
  <si>
    <t>Pensaskerttu</t>
  </si>
  <si>
    <t>Lehtokerttu</t>
  </si>
  <si>
    <t>Mustapääkerttu</t>
  </si>
  <si>
    <t>Idänuunilintu</t>
  </si>
  <si>
    <t>Lapinuunilintu</t>
  </si>
  <si>
    <t>Hippiäisuunilintu</t>
  </si>
  <si>
    <t>Taigauunilintu</t>
  </si>
  <si>
    <t>Kashmirinuunilintu</t>
  </si>
  <si>
    <t>Ruskouunilintu</t>
  </si>
  <si>
    <t>Balkaninuunilintu</t>
  </si>
  <si>
    <t>Sirittäjä</t>
  </si>
  <si>
    <t>Tiltaltti</t>
  </si>
  <si>
    <t>Pajulintu</t>
  </si>
  <si>
    <t>Hippiäinen</t>
  </si>
  <si>
    <t>Tulipäähippiäinen</t>
  </si>
  <si>
    <t>Harmaasieppo</t>
  </si>
  <si>
    <t>Pikkusieppo</t>
  </si>
  <si>
    <t>Sepelsieppo</t>
  </si>
  <si>
    <t>Kirjosieppo</t>
  </si>
  <si>
    <t>Viiksitimali</t>
  </si>
  <si>
    <t>Pyrstötiainen</t>
  </si>
  <si>
    <t>Valkopäätiainen</t>
  </si>
  <si>
    <t>Sinitiainen</t>
  </si>
  <si>
    <t>Talitiainen</t>
  </si>
  <si>
    <t>Kuusitiainen</t>
  </si>
  <si>
    <t>Töyhtötiainen</t>
  </si>
  <si>
    <t>Viitatiainen</t>
  </si>
  <si>
    <t>Hömötiainen</t>
  </si>
  <si>
    <t>Lapintiainen</t>
  </si>
  <si>
    <t>Pähkinänakkeli</t>
  </si>
  <si>
    <t>Puukiipijä</t>
  </si>
  <si>
    <t>Pussitiainen</t>
  </si>
  <si>
    <t>Kuhankeittäjä</t>
  </si>
  <si>
    <t>Punapyrstölepinkäinen</t>
  </si>
  <si>
    <t>Pikkulepinkäinen</t>
  </si>
  <si>
    <t>Mustaotsalepinkäinen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</si>
  <si>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</si>
  <si>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</si>
  <si>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</si>
  <si>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</si>
  <si>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</si>
  <si>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</si>
  <si>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</si>
  <si>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</si>
  <si>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</si>
  <si>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</si>
  <si>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</si>
  <si>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</si>
  <si>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</si>
  <si>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</si>
  <si>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</si>
  <si>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Keltahemppo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</si>
  <si>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</si>
  <si>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</si>
  <si>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</si>
  <si>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</si>
  <si>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</si>
  <si>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</si>
  <si>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</si>
  <si>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</si>
  <si>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</si>
  <si>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</si>
  <si>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Punavarpunen</t>
  </si>
  <si>
    <t>Taviokuurna</t>
  </si>
  <si>
    <t>Punatulkku</t>
  </si>
  <si>
    <t>Nokkavarpunen</t>
  </si>
  <si>
    <t>Lapinsirkku</t>
  </si>
  <si>
    <t>Pulmunen</t>
  </si>
  <si>
    <t>Mäntysirkku</t>
  </si>
  <si>
    <t>Keltasirkku</t>
  </si>
  <si>
    <t>Peltosirkku</t>
  </si>
  <si>
    <t>Pohjansirkku</t>
  </si>
  <si>
    <t>Pikkusirkku</t>
  </si>
  <si>
    <t>Kultasirkku</t>
  </si>
  <si>
    <t>Pajusirkku</t>
  </si>
  <si>
    <t>Ruskopääsirkku / mustapääsirkku</t>
  </si>
  <si>
    <t>Harmaasirkku</t>
  </si>
  <si>
    <t>Mustapääsirkku</t>
  </si>
  <si>
    <t>Tiibetinhanhi</t>
  </si>
  <si>
    <t>ok</t>
  </si>
  <si>
    <t>Pikkukanadanhanhi</t>
  </si>
  <si>
    <t>Rääkkähaikaralaji</t>
  </si>
  <si>
    <t>Lehmähaikara</t>
  </si>
  <si>
    <t>Pääskykahlaaja</t>
  </si>
  <si>
    <t>Kenttäkerttunen</t>
  </si>
  <si>
    <t>Siperianlepinkäinen</t>
  </si>
  <si>
    <t>Hox! Vuosiluvuksi on vaihdettava 2019, jotta mediaani, eka ja vika saadaan oikein</t>
  </si>
  <si>
    <t>aikaisin</t>
  </si>
  <si>
    <t>myöhäisin</t>
  </si>
  <si>
    <t/>
  </si>
  <si>
    <r>
      <t xml:space="preserve">Haku: </t>
    </r>
    <r>
      <rPr>
        <sz val="10"/>
        <color rgb="FFFF0000"/>
        <rFont val="Arial"/>
        <family val="2"/>
      </rPr>
      <t>=PHAKU(d4;vuosi!$a$1:$b$65725;2;0)</t>
    </r>
  </si>
  <si>
    <t>Kääpiökerttu</t>
  </si>
  <si>
    <t>2000-23</t>
  </si>
  <si>
    <t>Etelänharmaalokki</t>
  </si>
  <si>
    <t>Päivitetty 21.3.2024 8:43</t>
  </si>
  <si>
    <t>Morsiosorsa</t>
  </si>
  <si>
    <t>Vuonna 2023 PPLY:n alueella tavatut lajit</t>
  </si>
  <si>
    <t>Päivitetty 23.3.2024</t>
  </si>
  <si>
    <t>Päivitetty 23.3.2024 15:58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</si>
</sst>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dd/mm/"/>
    <numFmt numFmtId="166" formatCode="dd/mm"/>
    <numFmt numFmtId="167" formatCode="d/m/"/>
  </numFmts>
  <fonts count="21" x14ac:knownFonts="1">
    <font>
      <sz val="10"/>
      <name val="Arial"/>
    </font>
    <font>
      <b/>
      <sz val="12"/>
      <color rgb="FFFFFFFF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FF66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Arial"/>
      <family val="2"/>
      <charset val="1"/>
    </font>
    <font>
      <b/>
      <sz val="10"/>
      <color rgb="FFFF6600"/>
      <name val="Arial"/>
      <family val="2"/>
      <charset val="1"/>
    </font>
    <font>
      <b/>
      <sz val="10"/>
      <color rgb="FFFF0000"/>
      <name val="Arial"/>
      <family val="2"/>
    </font>
    <font>
      <b/>
      <sz val="8"/>
      <color theme="4" tint="0.39991454817346722"/>
      <name val="Arial"/>
      <family val="2"/>
    </font>
    <font>
      <sz val="8"/>
      <color rgb="FF000000"/>
      <name val="Segoe UI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729FCF"/>
        <bgColor rgb="FF969696"/>
      </patternFill>
    </fill>
    <fill>
      <patternFill patternType="solid">
        <fgColor rgb="FF99CCFF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3" borderId="0" xfId="0" applyFont="1" applyFill="1"/>
    <xf numFmtId="0" fontId="4" fillId="2" borderId="0" xfId="0" applyFont="1" applyFill="1"/>
    <xf numFmtId="0" fontId="5" fillId="2" borderId="0" xfId="0" applyFont="1" applyFill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0" borderId="0" xfId="0" applyFont="1"/>
    <xf numFmtId="0" fontId="0" fillId="4" borderId="1" xfId="0" applyFill="1" applyBorder="1"/>
    <xf numFmtId="0" fontId="0" fillId="0" borderId="1" xfId="0" applyBorder="1"/>
    <xf numFmtId="165" fontId="0" fillId="0" borderId="1" xfId="0" applyNumberFormat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0" fontId="6" fillId="4" borderId="1" xfId="0" applyFont="1" applyFill="1" applyBorder="1"/>
    <xf numFmtId="0" fontId="6" fillId="0" borderId="1" xfId="0" applyFont="1" applyBorder="1"/>
    <xf numFmtId="0" fontId="7" fillId="4" borderId="1" xfId="0" applyFont="1" applyFill="1" applyBorder="1"/>
    <xf numFmtId="0" fontId="7" fillId="0" borderId="1" xfId="0" applyFont="1" applyBorder="1"/>
    <xf numFmtId="0" fontId="8" fillId="4" borderId="0" xfId="0" applyFont="1" applyFill="1"/>
    <xf numFmtId="0" fontId="4" fillId="4" borderId="1" xfId="0" applyFont="1" applyFill="1" applyBorder="1"/>
    <xf numFmtId="0" fontId="7" fillId="4" borderId="0" xfId="0" applyFont="1" applyFill="1"/>
    <xf numFmtId="165" fontId="0" fillId="0" borderId="0" xfId="0" applyNumberFormat="1" applyAlignment="1">
      <alignment horizontal="right"/>
    </xf>
    <xf numFmtId="165" fontId="0" fillId="4" borderId="0" xfId="0" applyNumberFormat="1" applyFill="1" applyAlignment="1">
      <alignment horizontal="right"/>
    </xf>
    <xf numFmtId="0" fontId="9" fillId="4" borderId="0" xfId="0" applyFont="1" applyFill="1"/>
    <xf numFmtId="0" fontId="10" fillId="4" borderId="1" xfId="0" applyFont="1" applyFill="1" applyBorder="1"/>
    <xf numFmtId="0" fontId="10" fillId="0" borderId="1" xfId="0" applyFont="1" applyBorder="1"/>
    <xf numFmtId="0" fontId="0" fillId="4" borderId="0" xfId="0" applyFill="1"/>
    <xf numFmtId="0" fontId="11" fillId="3" borderId="0" xfId="0" applyFont="1" applyFill="1"/>
    <xf numFmtId="0" fontId="3" fillId="2" borderId="0" xfId="0" applyFont="1" applyFill="1"/>
    <xf numFmtId="0" fontId="4" fillId="5" borderId="0" xfId="0" applyFont="1" applyFill="1"/>
    <xf numFmtId="0" fontId="0" fillId="5" borderId="0" xfId="0" applyFill="1"/>
    <xf numFmtId="165" fontId="0" fillId="5" borderId="1" xfId="0" applyNumberForma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49" fontId="3" fillId="3" borderId="0" xfId="0" applyNumberFormat="1" applyFont="1" applyFill="1"/>
    <xf numFmtId="166" fontId="3" fillId="3" borderId="0" xfId="0" applyNumberFormat="1" applyFont="1" applyFill="1"/>
    <xf numFmtId="165" fontId="0" fillId="2" borderId="0" xfId="0" applyNumberFormat="1" applyFill="1" applyAlignment="1">
      <alignment horizontal="right"/>
    </xf>
    <xf numFmtId="0" fontId="14" fillId="3" borderId="0" xfId="0" applyFont="1" applyFill="1"/>
    <xf numFmtId="165" fontId="0" fillId="0" borderId="0" xfId="0" applyNumberFormat="1"/>
    <xf numFmtId="0" fontId="0" fillId="0" borderId="0" xfId="0" applyAlignment="1">
      <alignment horizontal="right"/>
    </xf>
    <xf numFmtId="0" fontId="15" fillId="6" borderId="0" xfId="1" applyAlignment="1">
      <alignment horizontal="right"/>
    </xf>
    <xf numFmtId="0" fontId="16" fillId="7" borderId="0" xfId="2" applyAlignment="1">
      <alignment horizontal="right"/>
    </xf>
    <xf numFmtId="0" fontId="17" fillId="8" borderId="0" xfId="3"/>
    <xf numFmtId="167" fontId="18" fillId="0" borderId="0" xfId="0" applyNumberFormat="1" applyFont="1" applyAlignment="1">
      <alignment horizontal="center" textRotation="180" shrinkToFit="1"/>
    </xf>
    <xf numFmtId="0" fontId="19" fillId="0" borderId="0" xfId="0" applyFont="1" applyAlignment="1">
      <alignment horizontal="center" shrinkToFit="1"/>
    </xf>
    <xf numFmtId="165" fontId="19" fillId="0" borderId="0" xfId="0" applyNumberFormat="1" applyFont="1" applyAlignment="1">
      <alignment horizontal="center" shrinkToFit="1"/>
    </xf>
    <xf numFmtId="165" fontId="3" fillId="3" borderId="0" xfId="0" applyNumberFormat="1" applyFont="1" applyFill="1"/>
    <xf numFmtId="165" fontId="4" fillId="0" borderId="1" xfId="0" applyNumberFormat="1" applyFont="1" applyBorder="1" applyAlignment="1">
      <alignment horizontal="right"/>
    </xf>
    <xf numFmtId="14" fontId="0" fillId="0" borderId="0" xfId="0" applyNumberFormat="1"/>
    <xf numFmtId="14" fontId="4" fillId="0" borderId="0" xfId="0" applyNumberFormat="1" applyFont="1"/>
    <xf numFmtId="0" fontId="5" fillId="2" borderId="0" xfId="0" applyFont="1" applyFill="1"/>
  </cellXfs>
  <cellStyles count="4">
    <cellStyle name="Huono" xfId="2" builtinId="27"/>
    <cellStyle name="Hyvä" xfId="1" builtinId="26"/>
    <cellStyle name="Neutraali" xfId="3" builtinId="28"/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G$1" lockText="1" noThreeD="1"/>
</file>

<file path=xl/ctrlProps/ctrlProp2.xml><?xml version="1.0" encoding="utf-8"?>
<formControlPr xmlns="http://schemas.microsoft.com/office/spreadsheetml/2009/9/main" objectType="CheckBox" fmlaLink="$AG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0</xdr:row>
          <xdr:rowOff>47625</xdr:rowOff>
        </xdr:from>
        <xdr:to>
          <xdr:col>31</xdr:col>
          <xdr:colOff>428625</xdr:colOff>
          <xdr:row>1</xdr:row>
          <xdr:rowOff>57150</xdr:rowOff>
        </xdr:to>
        <xdr:sp macro="" textlink="">
          <xdr:nvSpPr>
            <xdr:cNvPr id="1028" name="Check Box 4" descr="Talvihavainnot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Talvihavainnot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0</xdr:row>
          <xdr:rowOff>47625</xdr:rowOff>
        </xdr:from>
        <xdr:to>
          <xdr:col>31</xdr:col>
          <xdr:colOff>428625</xdr:colOff>
          <xdr:row>1</xdr:row>
          <xdr:rowOff>57150</xdr:rowOff>
        </xdr:to>
        <xdr:sp macro="" textlink="">
          <xdr:nvSpPr>
            <xdr:cNvPr id="5121" name="Check Box 1" descr="Talvihavainnot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Talvihavainnot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92"/>
  <sheetViews>
    <sheetView tabSelected="1" zoomScaleNormal="100" workbookViewId="0">
      <pane ySplit="1200" topLeftCell="A4"/>
      <selection activeCell="B3" sqref="B3:D3"/>
      <selection pane="bottomLeft" activeCell="AC3" sqref="AC3"/>
    </sheetView>
  </sheetViews>
  <sheetFormatPr defaultColWidth="8.85546875" defaultRowHeight="12.75" x14ac:dyDescent="0.2"/>
  <cols>
    <col min="1" max="1" width="1.7109375" customWidth="1"/>
    <col min="2" max="2" width="6.28515625" customWidth="1"/>
    <col min="3" max="3" width="2.5703125" customWidth="1"/>
    <col min="4" max="4" width="21" customWidth="1"/>
    <col min="5" max="5" width="2.140625" customWidth="1"/>
    <col min="6" max="14" width="6.7109375" customWidth="1"/>
    <col min="15" max="29" width="6.140625" customWidth="1"/>
    <col min="30" max="30" width="1.7109375" customWidth="1"/>
    <col min="31" max="31" width="7.7109375" customWidth="1"/>
    <col min="32" max="32" width="8.7109375" customWidth="1"/>
    <col min="33" max="33" width="7.7109375" customWidth="1"/>
    <col min="34" max="34" width="5" customWidth="1"/>
    <col min="35" max="35" width="10.85546875" style="36" customWidth="1"/>
    <col min="36" max="37" width="6" style="36" customWidth="1"/>
    <col min="38" max="38" width="4.85546875" customWidth="1"/>
    <col min="39" max="40" width="4.28515625" customWidth="1"/>
  </cols>
  <sheetData>
    <row r="1" spans="1:43" ht="15.75" x14ac:dyDescent="0.25">
      <c r="A1" s="1"/>
      <c r="B1" s="2" t="s">
        <v>0</v>
      </c>
      <c r="C1" s="2"/>
      <c r="D1" s="2"/>
      <c r="E1" s="2"/>
      <c r="F1" s="31" t="s">
        <v>383</v>
      </c>
      <c r="G1" s="31" t="s">
        <v>383</v>
      </c>
      <c r="H1" s="31" t="s">
        <v>383</v>
      </c>
      <c r="I1" s="31" t="s">
        <v>383</v>
      </c>
      <c r="J1" s="31" t="s">
        <v>383</v>
      </c>
      <c r="K1" s="31" t="s">
        <v>383</v>
      </c>
      <c r="L1" s="31" t="s">
        <v>383</v>
      </c>
      <c r="M1" s="31" t="s">
        <v>383</v>
      </c>
      <c r="N1" s="31" t="s">
        <v>383</v>
      </c>
      <c r="O1" s="31" t="s">
        <v>383</v>
      </c>
      <c r="P1" s="31" t="s">
        <v>383</v>
      </c>
      <c r="Q1" s="31" t="s">
        <v>383</v>
      </c>
      <c r="R1" s="31" t="s">
        <v>383</v>
      </c>
      <c r="S1" s="31" t="s">
        <v>383</v>
      </c>
      <c r="T1" s="31" t="s">
        <v>383</v>
      </c>
      <c r="U1" s="31" t="s">
        <v>383</v>
      </c>
      <c r="V1" s="31" t="s">
        <v>383</v>
      </c>
      <c r="W1" s="31" t="s">
        <v>383</v>
      </c>
      <c r="X1" s="31" t="s">
        <v>383</v>
      </c>
      <c r="Y1" s="31" t="s">
        <v>383</v>
      </c>
      <c r="Z1" s="31" t="s">
        <v>383</v>
      </c>
      <c r="AA1" s="31"/>
      <c r="AB1" s="31"/>
      <c r="AC1" s="31"/>
      <c r="AD1" s="31"/>
      <c r="AE1" s="3"/>
      <c r="AF1" s="3"/>
      <c r="AG1" s="26" t="b">
        <v>0</v>
      </c>
      <c r="AH1" s="3"/>
      <c r="AI1" s="44"/>
      <c r="AJ1" s="44"/>
      <c r="AK1" s="44"/>
    </row>
    <row r="2" spans="1:43" s="8" customFormat="1" ht="15.75" x14ac:dyDescent="0.25">
      <c r="A2" s="4"/>
      <c r="B2" s="2" t="s">
        <v>402</v>
      </c>
      <c r="C2" s="5"/>
      <c r="D2" s="6"/>
      <c r="E2" s="5"/>
      <c r="F2" s="7">
        <v>2000</v>
      </c>
      <c r="G2" s="7">
        <v>2001</v>
      </c>
      <c r="H2" s="7">
        <v>2002</v>
      </c>
      <c r="I2" s="7">
        <v>2003</v>
      </c>
      <c r="J2" s="7">
        <v>2004</v>
      </c>
      <c r="K2" s="7">
        <v>2005</v>
      </c>
      <c r="L2" s="7">
        <v>2006</v>
      </c>
      <c r="M2" s="7">
        <v>2007</v>
      </c>
      <c r="N2" s="7">
        <v>2008</v>
      </c>
      <c r="O2" s="7">
        <v>2009</v>
      </c>
      <c r="P2" s="7">
        <v>2010</v>
      </c>
      <c r="Q2" s="7">
        <v>2011</v>
      </c>
      <c r="R2" s="7">
        <v>2012</v>
      </c>
      <c r="S2" s="7">
        <v>2013</v>
      </c>
      <c r="T2" s="7">
        <v>2014</v>
      </c>
      <c r="U2" s="7">
        <v>2015</v>
      </c>
      <c r="V2" s="7">
        <v>2016</v>
      </c>
      <c r="W2" s="7">
        <v>2017</v>
      </c>
      <c r="X2" s="7">
        <v>2018</v>
      </c>
      <c r="Y2" s="7">
        <v>2019</v>
      </c>
      <c r="Z2" s="7">
        <v>2020</v>
      </c>
      <c r="AA2" s="7">
        <v>2021</v>
      </c>
      <c r="AB2" s="7">
        <v>2022</v>
      </c>
      <c r="AC2" s="7">
        <v>2023</v>
      </c>
      <c r="AD2" s="7"/>
      <c r="AE2" s="35" t="s">
        <v>391</v>
      </c>
      <c r="AF2" s="35" t="s">
        <v>1</v>
      </c>
      <c r="AG2" s="35" t="s">
        <v>392</v>
      </c>
      <c r="AH2" s="3"/>
      <c r="AI2" s="44"/>
      <c r="AJ2" s="44"/>
      <c r="AK2" s="44"/>
    </row>
    <row r="3" spans="1:43" s="8" customFormat="1" ht="15.75" x14ac:dyDescent="0.25">
      <c r="A3" s="4"/>
      <c r="B3" s="48"/>
      <c r="C3" s="48"/>
      <c r="D3" s="48"/>
      <c r="E3" s="5"/>
      <c r="F3" s="7">
        <f t="shared" ref="F3:AC3" si="0">COUNTA(F4:F391)</f>
        <v>195</v>
      </c>
      <c r="G3" s="7">
        <f t="shared" si="0"/>
        <v>198</v>
      </c>
      <c r="H3" s="7">
        <f t="shared" si="0"/>
        <v>207</v>
      </c>
      <c r="I3" s="7">
        <f t="shared" si="0"/>
        <v>270</v>
      </c>
      <c r="J3" s="7">
        <f t="shared" si="0"/>
        <v>279</v>
      </c>
      <c r="K3" s="7">
        <f t="shared" si="0"/>
        <v>273</v>
      </c>
      <c r="L3" s="7">
        <f t="shared" si="0"/>
        <v>258</v>
      </c>
      <c r="M3" s="7">
        <f t="shared" si="0"/>
        <v>267</v>
      </c>
      <c r="N3" s="7">
        <f t="shared" si="0"/>
        <v>267</v>
      </c>
      <c r="O3" s="7">
        <f t="shared" si="0"/>
        <v>261</v>
      </c>
      <c r="P3" s="7">
        <f t="shared" si="0"/>
        <v>267</v>
      </c>
      <c r="Q3" s="7">
        <f t="shared" si="0"/>
        <v>274</v>
      </c>
      <c r="R3" s="7">
        <f t="shared" si="0"/>
        <v>259</v>
      </c>
      <c r="S3" s="7">
        <f t="shared" si="0"/>
        <v>269</v>
      </c>
      <c r="T3" s="7">
        <f t="shared" si="0"/>
        <v>271</v>
      </c>
      <c r="U3" s="7">
        <f t="shared" si="0"/>
        <v>272</v>
      </c>
      <c r="V3" s="7">
        <f t="shared" si="0"/>
        <v>264</v>
      </c>
      <c r="W3" s="7">
        <f t="shared" si="0"/>
        <v>266</v>
      </c>
      <c r="X3" s="7">
        <f t="shared" si="0"/>
        <v>268</v>
      </c>
      <c r="Y3" s="7">
        <f t="shared" si="0"/>
        <v>269</v>
      </c>
      <c r="Z3" s="7">
        <f t="shared" si="0"/>
        <v>280</v>
      </c>
      <c r="AA3" s="7">
        <f t="shared" ref="AA3:AC3" si="1">COUNTA(AA4:AA391)</f>
        <v>276</v>
      </c>
      <c r="AB3" s="7">
        <f t="shared" si="1"/>
        <v>269</v>
      </c>
      <c r="AC3" s="7">
        <f>COUNTIF(AC4:AC391,"&gt;0")</f>
        <v>276</v>
      </c>
      <c r="AD3" s="7"/>
      <c r="AE3" s="32" t="s">
        <v>396</v>
      </c>
      <c r="AF3" s="32" t="s">
        <v>396</v>
      </c>
      <c r="AG3" s="32" t="s">
        <v>396</v>
      </c>
      <c r="AH3" s="3"/>
      <c r="AI3" s="44"/>
      <c r="AJ3" s="44"/>
      <c r="AK3" s="44"/>
    </row>
    <row r="4" spans="1:43" x14ac:dyDescent="0.2">
      <c r="A4" s="4"/>
      <c r="B4" s="9">
        <v>1</v>
      </c>
      <c r="C4" s="10"/>
      <c r="D4" s="9" t="s">
        <v>2</v>
      </c>
      <c r="E4" s="10"/>
      <c r="F4" s="11">
        <v>43574</v>
      </c>
      <c r="G4" s="12">
        <v>43584</v>
      </c>
      <c r="H4" s="11">
        <v>43553</v>
      </c>
      <c r="I4" s="12">
        <v>43554</v>
      </c>
      <c r="J4" s="11">
        <v>43544</v>
      </c>
      <c r="K4" s="12">
        <v>43559</v>
      </c>
      <c r="L4" s="11">
        <f>IF(AG1,DATE(2019,1,7),DATE(2019,4,13))</f>
        <v>43568</v>
      </c>
      <c r="M4" s="12">
        <f>IF(AG1,DATE(2019,1,1),DATE(2019,3,27))</f>
        <v>43551</v>
      </c>
      <c r="N4" s="11">
        <f>IF(AG1,DATE(2019,1,2),DATE(2019,3,15))</f>
        <v>43539</v>
      </c>
      <c r="O4" s="12">
        <f>IF(AG1,DATE(2019,1,1),DATE(2019,3,22))</f>
        <v>43546</v>
      </c>
      <c r="P4" s="11">
        <v>43564</v>
      </c>
      <c r="Q4" s="12">
        <v>43533</v>
      </c>
      <c r="R4" s="11">
        <f>IF(AG1,DATE(2019,1,1),DATE(2019,3,18))</f>
        <v>43542</v>
      </c>
      <c r="S4" s="12">
        <v>43561</v>
      </c>
      <c r="T4" s="11">
        <f>IF(AG1,DATE(2019,1,5),DATE(2019,3,6))</f>
        <v>43530</v>
      </c>
      <c r="U4" s="12">
        <v>43521</v>
      </c>
      <c r="V4" s="11">
        <f>IF(AG1,DATE(2019,1,2),DATE(2019,3,11))</f>
        <v>43535</v>
      </c>
      <c r="W4" s="12">
        <v>43540</v>
      </c>
      <c r="X4" s="11">
        <f>IF(AG1,DATE(2019,1,1),DATE(2019,3,9))</f>
        <v>43533</v>
      </c>
      <c r="Y4" s="12">
        <v>43545</v>
      </c>
      <c r="Z4" s="11">
        <f>IF(AG1,DATE(2019,1,1),DATE(2019,3,9))</f>
        <v>43533</v>
      </c>
      <c r="AA4" s="12">
        <f>IF(AG1,DATE(2019,1,1),DATE(2019,3,24))</f>
        <v>43548</v>
      </c>
      <c r="AB4" s="11">
        <v>43543</v>
      </c>
      <c r="AC4" s="12">
        <v>43543</v>
      </c>
      <c r="AD4" s="34"/>
      <c r="AE4" s="33">
        <f t="shared" ref="AE4:AE67" si="2">IF(SUM(F4:AC4)&gt;0,MIN(F4:AC4),"")</f>
        <v>43521</v>
      </c>
      <c r="AF4" s="33">
        <f t="shared" ref="AF4:AF67" si="3">IF(SUM(F4:AC4)&gt;0,MEDIAN(F4:AC4),"")</f>
        <v>43544.5</v>
      </c>
      <c r="AG4" s="33">
        <f t="shared" ref="AG4:AG67" si="4">IF(SUM(F4:AC4)&gt;0,MAX(F4:AC4),"")</f>
        <v>43584</v>
      </c>
      <c r="AH4">
        <v>1</v>
      </c>
      <c r="AK4" s="36" t="str">
        <f t="shared" ref="AK4:AK67" si="5">IF(AI4&lt;&gt;"",D4 &amp; "x" &amp; TEXT(AE4, "pp.kk.")  &amp; "2019x" &amp; TEXT(Z4, "pp.kk.") &amp; "2019","")</f>
        <v/>
      </c>
      <c r="AL4">
        <f>IF(COUNTIF(F4:Z4,"&lt;01.03.2019")&gt;0,COUNTIF(F4:Z4,"&lt;01.03.2019"),"")</f>
        <v>1</v>
      </c>
      <c r="AM4">
        <v>10</v>
      </c>
      <c r="AN4">
        <f t="shared" ref="AN4:AN67" si="6">AG4-AE4</f>
        <v>63</v>
      </c>
      <c r="AO4" t="str">
        <f t="shared" ref="AO4:AO67" si="7">TEXT(AE4, "p.k.")  &amp; "---" &amp; TEXT(AF4, "p.k.")  &amp; "---" &amp; TEXT(AG4, "p.k.")</f>
        <v>25.2.---20.3.---29.4.</v>
      </c>
      <c r="AP4" t="str">
        <f t="shared" ref="AP4:AP67" si="8">D4</f>
        <v>Kyhmyjoutsen</v>
      </c>
      <c r="AQ4" t="str">
        <f>IF(AND(AM4&gt;0,AM4&lt;&gt;""),"(" &amp;AO4 &amp; ", " &amp; AM4 &amp; "/21)","(" &amp; AO4 &amp; ")")</f>
        <v>(25.2.---20.3.---29.4., 10/21)</v>
      </c>
    </row>
    <row r="5" spans="1:43" x14ac:dyDescent="0.2">
      <c r="A5" s="1"/>
      <c r="B5" s="9">
        <f t="shared" ref="B5:B36" si="9">B4+1</f>
        <v>2</v>
      </c>
      <c r="C5" s="10"/>
      <c r="D5" s="9" t="s">
        <v>3</v>
      </c>
      <c r="E5" s="10"/>
      <c r="F5" s="11">
        <v>43572</v>
      </c>
      <c r="G5" s="12">
        <v>43566</v>
      </c>
      <c r="H5" s="11">
        <v>43564</v>
      </c>
      <c r="I5" s="12">
        <v>43570</v>
      </c>
      <c r="J5" s="11">
        <v>43558</v>
      </c>
      <c r="K5" s="12">
        <v>43565</v>
      </c>
      <c r="L5" s="11">
        <v>43571</v>
      </c>
      <c r="M5" s="12">
        <v>43557</v>
      </c>
      <c r="N5" s="11">
        <v>43577</v>
      </c>
      <c r="O5" s="12">
        <v>43564</v>
      </c>
      <c r="P5" s="11">
        <v>43573</v>
      </c>
      <c r="Q5" s="12">
        <v>43571</v>
      </c>
      <c r="R5" s="11">
        <v>43567</v>
      </c>
      <c r="S5" s="12">
        <v>43571</v>
      </c>
      <c r="T5" s="11">
        <v>43537</v>
      </c>
      <c r="U5" s="12">
        <v>43542</v>
      </c>
      <c r="V5" s="11">
        <v>43552</v>
      </c>
      <c r="W5" s="12">
        <v>43554</v>
      </c>
      <c r="X5" s="11">
        <v>43568</v>
      </c>
      <c r="Y5" s="12">
        <v>43551</v>
      </c>
      <c r="Z5" s="11">
        <v>43546</v>
      </c>
      <c r="AA5" s="12">
        <v>43568</v>
      </c>
      <c r="AB5" s="11">
        <v>43579</v>
      </c>
      <c r="AC5" s="12">
        <v>43572</v>
      </c>
      <c r="AD5" s="34"/>
      <c r="AE5" s="33">
        <f t="shared" si="2"/>
        <v>43537</v>
      </c>
      <c r="AF5" s="33">
        <f t="shared" si="3"/>
        <v>43566.5</v>
      </c>
      <c r="AG5" s="33">
        <f t="shared" si="4"/>
        <v>43579</v>
      </c>
      <c r="AH5">
        <v>2</v>
      </c>
      <c r="AK5" s="36" t="str">
        <f t="shared" si="5"/>
        <v/>
      </c>
      <c r="AL5" t="str">
        <f t="shared" ref="AL5:AL68" si="10">IF(COUNTIF(F5:Z5,"&lt;01.03.2019")&gt;0,COUNTIF(F5:Z5,"&lt;01.03.2019"),"")</f>
        <v/>
      </c>
      <c r="AM5" t="s">
        <v>393</v>
      </c>
      <c r="AN5">
        <f t="shared" si="6"/>
        <v>42</v>
      </c>
      <c r="AO5" t="str">
        <f t="shared" si="7"/>
        <v>13.3.---11.4.---24.4.</v>
      </c>
      <c r="AP5" t="str">
        <f t="shared" si="8"/>
        <v>Pikkujoutsen</v>
      </c>
      <c r="AQ5" t="str">
        <f t="shared" ref="AQ5:AQ68" si="11">IF(AND(AM5&gt;0,AM5&lt;&gt;""),"(" &amp;AO5 &amp; ", " &amp; AM5 &amp; "/21)","(" &amp; AO5 &amp; ")")</f>
        <v>(13.3.---11.4.---24.4.)</v>
      </c>
    </row>
    <row r="6" spans="1:43" x14ac:dyDescent="0.2">
      <c r="A6" s="1"/>
      <c r="B6" s="9">
        <f t="shared" si="9"/>
        <v>3</v>
      </c>
      <c r="C6" s="10"/>
      <c r="D6" s="9" t="s">
        <v>4</v>
      </c>
      <c r="E6" s="10"/>
      <c r="F6" s="11">
        <f>IF(AG1,DATE(2019,1,1),DATE(2019,3,19))</f>
        <v>43543</v>
      </c>
      <c r="G6" s="12">
        <f>IF(AG1,DATE(2019,1,4),DATE(2019,3,21))</f>
        <v>43545</v>
      </c>
      <c r="H6" s="11">
        <f>IF(AG1,DATE(2019,1,8),DATE(2019,2,28))</f>
        <v>43524</v>
      </c>
      <c r="I6" s="12">
        <f>IF(AG1,DATE(2019,1,1),DATE(2019,3,20))</f>
        <v>43544</v>
      </c>
      <c r="J6" s="11">
        <f>IF(AG1,DATE(2019,1,1),DATE(2019,3,17))</f>
        <v>43541</v>
      </c>
      <c r="K6" s="12">
        <f>IF(AG1,DATE(2019,1,3),DATE(2019,3,20))</f>
        <v>43544</v>
      </c>
      <c r="L6" s="11">
        <f>IF(AG1,DATE(2019,1,7),DATE(2019,3,24))</f>
        <v>43548</v>
      </c>
      <c r="M6" s="12">
        <f>IF(AG1,DATE(2019,1,3),DATE(2019,2,4))</f>
        <v>43500</v>
      </c>
      <c r="N6" s="11">
        <f>IF(AG1,DATE(2019,1,1),DATE(2019,3,6))</f>
        <v>43530</v>
      </c>
      <c r="O6" s="12">
        <f>IF(AG1,DATE(2019,1,1),DATE(2019,3,1))</f>
        <v>43525</v>
      </c>
      <c r="P6" s="11">
        <f>IF(AG1,DATE(2019,1,6),DATE(2019,3,14))</f>
        <v>43538</v>
      </c>
      <c r="Q6" s="12">
        <f>IF(AG1,DATE(2019,1,1),DATE(2019,3,5))</f>
        <v>43529</v>
      </c>
      <c r="R6" s="11">
        <f>IF(AG1,DATE(2019,1,1),DATE(2019,3,3))</f>
        <v>43527</v>
      </c>
      <c r="S6" s="12">
        <f>IF(AG1,DATE(2019,2,3),DATE(2019,3,16))</f>
        <v>43540</v>
      </c>
      <c r="T6" s="11">
        <f>IF(AG1,DATE(2019,1,1),DATE(2019,2,3))</f>
        <v>43499</v>
      </c>
      <c r="U6" s="12">
        <f>IF(AG1,DATE(2019,1,1),DATE(2019,2,14))</f>
        <v>43510</v>
      </c>
      <c r="V6" s="11">
        <f>IF(AG1,DATE(2019,1,1),DATE(2019,3,1))</f>
        <v>43525</v>
      </c>
      <c r="W6" s="12">
        <f>IF(AG1,DATE(2019,1,1),DATE(2019,3,10))</f>
        <v>43534</v>
      </c>
      <c r="X6" s="11">
        <f>IF(AG1,DATE(2019,1,2),DATE(2019,3,17))</f>
        <v>43541</v>
      </c>
      <c r="Y6" s="12">
        <f>IF(AG1,DATE(2019,1,1),DATE(2019,3,3))</f>
        <v>43527</v>
      </c>
      <c r="Z6" s="11">
        <f>IF(AG1,DATE(2019,1,1),DATE(2019,2,12))</f>
        <v>43508</v>
      </c>
      <c r="AA6" s="12">
        <f>IF(AG1,DATE(2019,1,1),DATE(2019,2,28))</f>
        <v>43524</v>
      </c>
      <c r="AB6" s="11">
        <f>IF(AG1,DATE(2019,1,1),DATE(2019,2,28))</f>
        <v>43524</v>
      </c>
      <c r="AC6" s="12">
        <f>IF(AG1,DATE(2019,1,1),DATE(2019,3,6))</f>
        <v>43530</v>
      </c>
      <c r="AD6" s="34"/>
      <c r="AE6" s="33">
        <f t="shared" si="2"/>
        <v>43499</v>
      </c>
      <c r="AF6" s="33">
        <f t="shared" si="3"/>
        <v>43529.5</v>
      </c>
      <c r="AG6" s="33">
        <f t="shared" si="4"/>
        <v>43548</v>
      </c>
      <c r="AH6">
        <v>3</v>
      </c>
      <c r="AK6" s="36" t="str">
        <f t="shared" si="5"/>
        <v/>
      </c>
      <c r="AL6">
        <f t="shared" si="10"/>
        <v>5</v>
      </c>
      <c r="AM6">
        <v>21</v>
      </c>
      <c r="AN6">
        <f t="shared" si="6"/>
        <v>49</v>
      </c>
      <c r="AO6" t="str">
        <f t="shared" si="7"/>
        <v>3.2.---5.3.---24.3.</v>
      </c>
      <c r="AP6" t="str">
        <f t="shared" si="8"/>
        <v>Laulujoutsen</v>
      </c>
      <c r="AQ6" t="str">
        <f t="shared" si="11"/>
        <v>(3.2.---5.3.---24.3., 21/21)</v>
      </c>
    </row>
    <row r="7" spans="1:43" x14ac:dyDescent="0.2">
      <c r="A7" s="1"/>
      <c r="B7" s="9">
        <f t="shared" si="9"/>
        <v>4</v>
      </c>
      <c r="C7" s="10"/>
      <c r="D7" s="9" t="s">
        <v>5</v>
      </c>
      <c r="E7" s="10"/>
      <c r="F7" s="11">
        <v>43553</v>
      </c>
      <c r="G7" s="12">
        <v>43562</v>
      </c>
      <c r="H7" s="11">
        <v>43552</v>
      </c>
      <c r="I7" s="12">
        <v>43552</v>
      </c>
      <c r="J7" s="11">
        <v>43558</v>
      </c>
      <c r="K7" s="12">
        <v>43557</v>
      </c>
      <c r="L7" s="11">
        <v>43564</v>
      </c>
      <c r="M7" s="12">
        <v>43538</v>
      </c>
      <c r="N7" s="11">
        <f>IF(AG1,DATE(2019,1,1),DATE(2019,3,14))</f>
        <v>43538</v>
      </c>
      <c r="O7" s="12">
        <v>43558</v>
      </c>
      <c r="P7" s="11">
        <v>43564</v>
      </c>
      <c r="Q7" s="12">
        <v>43556</v>
      </c>
      <c r="R7" s="11">
        <v>43552</v>
      </c>
      <c r="S7" s="12">
        <v>43560</v>
      </c>
      <c r="T7" s="11">
        <v>43526</v>
      </c>
      <c r="U7" s="12">
        <v>43537</v>
      </c>
      <c r="V7" s="11">
        <v>43551</v>
      </c>
      <c r="W7" s="12">
        <v>43545</v>
      </c>
      <c r="X7" s="11">
        <v>43561</v>
      </c>
      <c r="Y7" s="12">
        <v>43550</v>
      </c>
      <c r="Z7" s="11">
        <v>43542</v>
      </c>
      <c r="AA7" s="12">
        <v>43548</v>
      </c>
      <c r="AB7" s="11">
        <v>43545</v>
      </c>
      <c r="AC7" s="12">
        <v>43558</v>
      </c>
      <c r="AD7" s="34"/>
      <c r="AE7" s="33">
        <f t="shared" si="2"/>
        <v>43526</v>
      </c>
      <c r="AF7" s="33">
        <f t="shared" si="3"/>
        <v>43552</v>
      </c>
      <c r="AG7" s="33">
        <f t="shared" si="4"/>
        <v>43564</v>
      </c>
      <c r="AH7">
        <v>4</v>
      </c>
      <c r="AK7" s="36" t="str">
        <f t="shared" si="5"/>
        <v/>
      </c>
      <c r="AL7" t="str">
        <f t="shared" si="10"/>
        <v/>
      </c>
      <c r="AM7">
        <v>1</v>
      </c>
      <c r="AN7">
        <f t="shared" si="6"/>
        <v>38</v>
      </c>
      <c r="AO7" t="str">
        <f t="shared" si="7"/>
        <v>2.3.---28.3.---9.4.</v>
      </c>
      <c r="AP7" t="str">
        <f t="shared" si="8"/>
        <v>Metsähanhi</v>
      </c>
      <c r="AQ7" t="str">
        <f t="shared" si="11"/>
        <v>(2.3.---28.3.---9.4., 1/21)</v>
      </c>
    </row>
    <row r="8" spans="1:43" x14ac:dyDescent="0.2">
      <c r="A8" s="1"/>
      <c r="B8" s="9">
        <f t="shared" si="9"/>
        <v>5</v>
      </c>
      <c r="C8" s="10"/>
      <c r="D8" s="9" t="s">
        <v>6</v>
      </c>
      <c r="E8" s="10"/>
      <c r="F8" s="11">
        <v>43568</v>
      </c>
      <c r="G8" s="12">
        <v>43567</v>
      </c>
      <c r="H8" s="11">
        <v>43557</v>
      </c>
      <c r="I8" s="12">
        <v>43570</v>
      </c>
      <c r="J8" s="11">
        <v>43558</v>
      </c>
      <c r="K8" s="12">
        <v>43565</v>
      </c>
      <c r="L8" s="11">
        <v>43571</v>
      </c>
      <c r="M8" s="12">
        <v>43552</v>
      </c>
      <c r="N8" s="11">
        <v>43558</v>
      </c>
      <c r="O8" s="12">
        <v>43563</v>
      </c>
      <c r="P8" s="11">
        <v>43567</v>
      </c>
      <c r="Q8" s="12">
        <v>43564</v>
      </c>
      <c r="R8" s="11">
        <v>43564</v>
      </c>
      <c r="S8" s="12">
        <v>43572</v>
      </c>
      <c r="T8" s="11">
        <v>43538</v>
      </c>
      <c r="U8" s="12">
        <v>43552</v>
      </c>
      <c r="V8" s="11">
        <v>43551</v>
      </c>
      <c r="W8" s="12">
        <v>43558</v>
      </c>
      <c r="X8" s="11">
        <v>43568</v>
      </c>
      <c r="Y8" s="12">
        <v>43555</v>
      </c>
      <c r="Z8" s="11">
        <v>43543</v>
      </c>
      <c r="AA8" s="12">
        <v>43552</v>
      </c>
      <c r="AB8" s="11">
        <v>43561</v>
      </c>
      <c r="AC8" s="12">
        <v>43562</v>
      </c>
      <c r="AD8" s="34"/>
      <c r="AE8" s="33">
        <f t="shared" si="2"/>
        <v>43538</v>
      </c>
      <c r="AF8" s="33">
        <f t="shared" si="3"/>
        <v>43561.5</v>
      </c>
      <c r="AG8" s="33">
        <f t="shared" si="4"/>
        <v>43572</v>
      </c>
      <c r="AH8">
        <v>5</v>
      </c>
      <c r="AK8" s="36" t="str">
        <f t="shared" si="5"/>
        <v/>
      </c>
      <c r="AL8" t="str">
        <f t="shared" si="10"/>
        <v/>
      </c>
      <c r="AM8" t="s">
        <v>393</v>
      </c>
      <c r="AN8">
        <f t="shared" si="6"/>
        <v>34</v>
      </c>
      <c r="AO8" t="str">
        <f t="shared" si="7"/>
        <v>14.3.---6.4.---17.4.</v>
      </c>
      <c r="AP8" t="str">
        <f t="shared" si="8"/>
        <v>Lyhytnokkahanhi</v>
      </c>
      <c r="AQ8" t="str">
        <f t="shared" si="11"/>
        <v>(14.3.---6.4.---17.4.)</v>
      </c>
    </row>
    <row r="9" spans="1:43" x14ac:dyDescent="0.2">
      <c r="A9" s="1"/>
      <c r="B9" s="9">
        <f t="shared" si="9"/>
        <v>6</v>
      </c>
      <c r="C9" s="10"/>
      <c r="D9" s="9" t="s">
        <v>7</v>
      </c>
      <c r="E9" s="10"/>
      <c r="F9" s="11">
        <v>43573</v>
      </c>
      <c r="G9" s="12">
        <v>43566</v>
      </c>
      <c r="H9" s="11">
        <v>43560</v>
      </c>
      <c r="I9" s="12">
        <v>43570</v>
      </c>
      <c r="J9" s="11">
        <v>43564</v>
      </c>
      <c r="K9" s="12">
        <v>43565</v>
      </c>
      <c r="L9" s="11">
        <v>43563</v>
      </c>
      <c r="M9" s="12">
        <v>43553</v>
      </c>
      <c r="N9" s="11">
        <v>43561</v>
      </c>
      <c r="O9" s="12">
        <v>43565</v>
      </c>
      <c r="P9" s="11">
        <v>43572</v>
      </c>
      <c r="Q9" s="12">
        <v>43569</v>
      </c>
      <c r="R9" s="11">
        <v>43569</v>
      </c>
      <c r="S9" s="12">
        <v>43573</v>
      </c>
      <c r="T9" s="11">
        <v>43540</v>
      </c>
      <c r="U9" s="12">
        <v>43556</v>
      </c>
      <c r="V9" s="11">
        <v>43552</v>
      </c>
      <c r="W9" s="12">
        <v>43549</v>
      </c>
      <c r="X9" s="11">
        <v>43569</v>
      </c>
      <c r="Y9" s="12">
        <v>43555</v>
      </c>
      <c r="Z9" s="11">
        <v>43542</v>
      </c>
      <c r="AA9" s="12">
        <v>43555</v>
      </c>
      <c r="AB9" s="11">
        <v>43566</v>
      </c>
      <c r="AC9" s="12">
        <v>43563</v>
      </c>
      <c r="AD9" s="34"/>
      <c r="AE9" s="33">
        <f t="shared" si="2"/>
        <v>43540</v>
      </c>
      <c r="AF9" s="33">
        <f t="shared" si="3"/>
        <v>43563.5</v>
      </c>
      <c r="AG9" s="33">
        <f t="shared" si="4"/>
        <v>43573</v>
      </c>
      <c r="AH9">
        <v>6</v>
      </c>
      <c r="AK9" s="36" t="str">
        <f t="shared" si="5"/>
        <v/>
      </c>
      <c r="AL9" t="str">
        <f t="shared" si="10"/>
        <v/>
      </c>
      <c r="AM9" t="s">
        <v>393</v>
      </c>
      <c r="AN9">
        <f t="shared" si="6"/>
        <v>33</v>
      </c>
      <c r="AO9" t="str">
        <f t="shared" si="7"/>
        <v>16.3.---8.4.---18.4.</v>
      </c>
      <c r="AP9" t="str">
        <f t="shared" si="8"/>
        <v>Tundrahanhi</v>
      </c>
      <c r="AQ9" t="str">
        <f t="shared" si="11"/>
        <v>(16.3.---8.4.---18.4.)</v>
      </c>
    </row>
    <row r="10" spans="1:43" x14ac:dyDescent="0.2">
      <c r="A10" s="1"/>
      <c r="B10" s="9">
        <f t="shared" si="9"/>
        <v>7</v>
      </c>
      <c r="C10" s="10"/>
      <c r="D10" s="9" t="s">
        <v>8</v>
      </c>
      <c r="E10" s="10"/>
      <c r="F10" s="11">
        <v>43576</v>
      </c>
      <c r="G10" s="12">
        <v>43592</v>
      </c>
      <c r="H10" s="11">
        <v>43575</v>
      </c>
      <c r="I10" s="12">
        <v>43591</v>
      </c>
      <c r="J10" s="11">
        <v>43586</v>
      </c>
      <c r="K10" s="12">
        <v>43594</v>
      </c>
      <c r="L10" s="11">
        <v>43584</v>
      </c>
      <c r="M10" s="12">
        <v>43588</v>
      </c>
      <c r="N10" s="11">
        <v>43584</v>
      </c>
      <c r="O10" s="12">
        <v>43588</v>
      </c>
      <c r="P10" s="11">
        <v>43586</v>
      </c>
      <c r="Q10" s="12">
        <v>43576</v>
      </c>
      <c r="R10" s="11">
        <v>43583</v>
      </c>
      <c r="S10" s="12">
        <v>43589</v>
      </c>
      <c r="T10" s="11">
        <v>43583</v>
      </c>
      <c r="U10" s="12">
        <v>43584</v>
      </c>
      <c r="V10" s="11">
        <v>43584</v>
      </c>
      <c r="W10" s="12">
        <v>43586</v>
      </c>
      <c r="X10" s="11">
        <v>43588</v>
      </c>
      <c r="Y10" s="12">
        <v>43584</v>
      </c>
      <c r="Z10" s="11">
        <v>43586</v>
      </c>
      <c r="AA10" s="12">
        <v>43560</v>
      </c>
      <c r="AB10" s="11">
        <v>43571</v>
      </c>
      <c r="AC10" s="12">
        <v>43585</v>
      </c>
      <c r="AD10" s="34"/>
      <c r="AE10" s="33">
        <f t="shared" si="2"/>
        <v>43560</v>
      </c>
      <c r="AF10" s="33">
        <f t="shared" si="3"/>
        <v>43584.5</v>
      </c>
      <c r="AG10" s="33">
        <f t="shared" si="4"/>
        <v>43594</v>
      </c>
      <c r="AH10">
        <v>7</v>
      </c>
      <c r="AK10" s="36" t="str">
        <f t="shared" si="5"/>
        <v/>
      </c>
      <c r="AL10" t="str">
        <f t="shared" si="10"/>
        <v/>
      </c>
      <c r="AM10" t="s">
        <v>393</v>
      </c>
      <c r="AN10">
        <f t="shared" si="6"/>
        <v>34</v>
      </c>
      <c r="AO10" t="str">
        <f t="shared" si="7"/>
        <v>5.4.---29.4.---9.5.</v>
      </c>
      <c r="AP10" t="str">
        <f t="shared" si="8"/>
        <v>Kiljuhanhi</v>
      </c>
      <c r="AQ10" t="str">
        <f t="shared" si="11"/>
        <v>(5.4.---29.4.---9.5.)</v>
      </c>
    </row>
    <row r="11" spans="1:43" x14ac:dyDescent="0.2">
      <c r="A11" s="1"/>
      <c r="B11" s="9">
        <f t="shared" si="9"/>
        <v>8</v>
      </c>
      <c r="C11" s="10"/>
      <c r="D11" s="9" t="s">
        <v>9</v>
      </c>
      <c r="E11" s="10"/>
      <c r="F11" s="11">
        <v>43553</v>
      </c>
      <c r="G11" s="12">
        <v>43557</v>
      </c>
      <c r="H11" s="11">
        <v>43549</v>
      </c>
      <c r="I11" s="12">
        <v>43551</v>
      </c>
      <c r="J11" s="11">
        <v>43543</v>
      </c>
      <c r="K11" s="12">
        <v>43556</v>
      </c>
      <c r="L11" s="11">
        <v>43562</v>
      </c>
      <c r="M11" s="12">
        <v>43540</v>
      </c>
      <c r="N11" s="11">
        <v>43535</v>
      </c>
      <c r="O11" s="12">
        <v>43541</v>
      </c>
      <c r="P11" s="11">
        <v>43548</v>
      </c>
      <c r="Q11" s="12">
        <v>43547</v>
      </c>
      <c r="R11" s="11">
        <v>43536</v>
      </c>
      <c r="S11" s="12">
        <v>43551</v>
      </c>
      <c r="T11" s="11">
        <v>43532</v>
      </c>
      <c r="U11" s="12">
        <v>43508</v>
      </c>
      <c r="V11" s="11">
        <v>43532</v>
      </c>
      <c r="W11" s="12">
        <v>43536</v>
      </c>
      <c r="X11" s="11">
        <v>43556</v>
      </c>
      <c r="Y11" s="12">
        <v>43542</v>
      </c>
      <c r="Z11" s="11">
        <v>43532</v>
      </c>
      <c r="AA11" s="12">
        <f>IF(AG1,DATE(2019,1,2),DATE(2019,3,22))</f>
        <v>43546</v>
      </c>
      <c r="AB11" s="11">
        <v>43524</v>
      </c>
      <c r="AC11" s="12">
        <v>43542</v>
      </c>
      <c r="AD11" s="34"/>
      <c r="AE11" s="33">
        <f t="shared" si="2"/>
        <v>43508</v>
      </c>
      <c r="AF11" s="33">
        <f t="shared" si="3"/>
        <v>43542.5</v>
      </c>
      <c r="AG11" s="33">
        <f t="shared" si="4"/>
        <v>43562</v>
      </c>
      <c r="AH11">
        <v>8</v>
      </c>
      <c r="AK11" s="36" t="str">
        <f t="shared" si="5"/>
        <v/>
      </c>
      <c r="AL11">
        <f t="shared" si="10"/>
        <v>1</v>
      </c>
      <c r="AM11">
        <v>1</v>
      </c>
      <c r="AN11">
        <f t="shared" si="6"/>
        <v>54</v>
      </c>
      <c r="AO11" t="str">
        <f t="shared" si="7"/>
        <v>12.2.---18.3.---7.4.</v>
      </c>
      <c r="AP11" t="str">
        <f t="shared" si="8"/>
        <v>Merihanhi</v>
      </c>
      <c r="AQ11" t="str">
        <f t="shared" si="11"/>
        <v>(12.2.---18.3.---7.4., 1/21)</v>
      </c>
    </row>
    <row r="12" spans="1:43" x14ac:dyDescent="0.2">
      <c r="A12" s="1"/>
      <c r="B12" s="9">
        <f t="shared" si="9"/>
        <v>9</v>
      </c>
      <c r="C12" s="10"/>
      <c r="D12" s="13" t="s">
        <v>382</v>
      </c>
      <c r="E12" s="14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1">
        <v>43588</v>
      </c>
      <c r="AA12" s="12">
        <v>43583</v>
      </c>
      <c r="AB12" s="11">
        <v>43680</v>
      </c>
      <c r="AC12" s="12">
        <v>43626</v>
      </c>
      <c r="AD12" s="34"/>
      <c r="AE12" s="33">
        <f t="shared" si="2"/>
        <v>43583</v>
      </c>
      <c r="AF12" s="33">
        <f t="shared" si="3"/>
        <v>43607</v>
      </c>
      <c r="AG12" s="33">
        <f t="shared" si="4"/>
        <v>43680</v>
      </c>
      <c r="AH12">
        <v>9</v>
      </c>
      <c r="AK12" s="36" t="str">
        <f t="shared" si="5"/>
        <v/>
      </c>
      <c r="AL12" t="str">
        <f t="shared" si="10"/>
        <v/>
      </c>
      <c r="AM12" t="s">
        <v>393</v>
      </c>
      <c r="AN12">
        <f t="shared" si="6"/>
        <v>97</v>
      </c>
      <c r="AO12" t="str">
        <f t="shared" si="7"/>
        <v>28.4.---22.5.---3.8.</v>
      </c>
      <c r="AP12" t="str">
        <f t="shared" si="8"/>
        <v>Tiibetinhanhi</v>
      </c>
      <c r="AQ12" t="str">
        <f t="shared" si="11"/>
        <v>(28.4.---22.5.---3.8.)</v>
      </c>
    </row>
    <row r="13" spans="1:43" x14ac:dyDescent="0.2">
      <c r="A13" s="1"/>
      <c r="B13" s="9">
        <f t="shared" si="9"/>
        <v>10</v>
      </c>
      <c r="C13" s="10"/>
      <c r="D13" s="9" t="s">
        <v>10</v>
      </c>
      <c r="E13" s="10"/>
      <c r="F13" s="11">
        <v>43550</v>
      </c>
      <c r="G13" s="12">
        <v>43561</v>
      </c>
      <c r="H13" s="11">
        <v>43554</v>
      </c>
      <c r="I13" s="12">
        <v>43552</v>
      </c>
      <c r="J13" s="11">
        <v>43559</v>
      </c>
      <c r="K13" s="12">
        <v>43559</v>
      </c>
      <c r="L13" s="11">
        <v>43569</v>
      </c>
      <c r="M13" s="12">
        <v>43551</v>
      </c>
      <c r="N13" s="11">
        <v>43556</v>
      </c>
      <c r="O13" s="12">
        <v>43561</v>
      </c>
      <c r="P13" s="11">
        <v>43566</v>
      </c>
      <c r="Q13" s="12">
        <v>43560</v>
      </c>
      <c r="R13" s="11">
        <v>43550</v>
      </c>
      <c r="S13" s="12">
        <v>43576</v>
      </c>
      <c r="T13" s="11">
        <v>43534</v>
      </c>
      <c r="U13" s="12">
        <v>43554</v>
      </c>
      <c r="V13" s="11">
        <v>43549</v>
      </c>
      <c r="W13" s="12">
        <v>43550</v>
      </c>
      <c r="X13" s="11">
        <v>43567</v>
      </c>
      <c r="Y13" s="12">
        <v>43554</v>
      </c>
      <c r="Z13" s="11">
        <v>43542</v>
      </c>
      <c r="AA13" s="12">
        <v>43552</v>
      </c>
      <c r="AB13" s="11">
        <v>43545</v>
      </c>
      <c r="AC13" s="12">
        <v>43564</v>
      </c>
      <c r="AD13" s="34"/>
      <c r="AE13" s="33">
        <f t="shared" si="2"/>
        <v>43534</v>
      </c>
      <c r="AF13" s="33">
        <f t="shared" si="3"/>
        <v>43554</v>
      </c>
      <c r="AG13" s="33">
        <f t="shared" si="4"/>
        <v>43576</v>
      </c>
      <c r="AH13">
        <v>10</v>
      </c>
      <c r="AK13" s="36" t="str">
        <f t="shared" si="5"/>
        <v/>
      </c>
      <c r="AL13" t="str">
        <f t="shared" si="10"/>
        <v/>
      </c>
      <c r="AM13" t="s">
        <v>393</v>
      </c>
      <c r="AN13">
        <f t="shared" si="6"/>
        <v>42</v>
      </c>
      <c r="AO13" t="str">
        <f t="shared" si="7"/>
        <v>10.3.---30.3.---21.4.</v>
      </c>
      <c r="AP13" t="str">
        <f t="shared" si="8"/>
        <v>Kanadanhanhi</v>
      </c>
      <c r="AQ13" t="str">
        <f t="shared" si="11"/>
        <v>(10.3.---30.3.---21.4.)</v>
      </c>
    </row>
    <row r="14" spans="1:43" x14ac:dyDescent="0.2">
      <c r="A14" s="1"/>
      <c r="B14" s="9">
        <f t="shared" si="9"/>
        <v>11</v>
      </c>
      <c r="C14" s="10"/>
      <c r="D14" s="15" t="s">
        <v>384</v>
      </c>
      <c r="E14" s="16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>
        <v>43571</v>
      </c>
      <c r="Z14" s="11"/>
      <c r="AA14" s="12">
        <v>43561</v>
      </c>
      <c r="AB14" s="11">
        <v>43717</v>
      </c>
      <c r="AC14" s="12">
        <v>43727</v>
      </c>
      <c r="AD14" s="34"/>
      <c r="AE14" s="33">
        <f t="shared" si="2"/>
        <v>43561</v>
      </c>
      <c r="AF14" s="33">
        <f t="shared" si="3"/>
        <v>43644</v>
      </c>
      <c r="AG14" s="33">
        <f t="shared" si="4"/>
        <v>43727</v>
      </c>
      <c r="AH14">
        <v>11</v>
      </c>
      <c r="AK14" s="36" t="str">
        <f t="shared" si="5"/>
        <v/>
      </c>
      <c r="AL14" t="str">
        <f t="shared" si="10"/>
        <v/>
      </c>
      <c r="AM14" t="s">
        <v>393</v>
      </c>
      <c r="AN14">
        <f t="shared" si="6"/>
        <v>166</v>
      </c>
      <c r="AO14" t="str">
        <f t="shared" si="7"/>
        <v>6.4.---28.6.---19.9.</v>
      </c>
      <c r="AP14" t="str">
        <f t="shared" si="8"/>
        <v>Pikkukanadanhanhi</v>
      </c>
      <c r="AQ14" t="str">
        <f t="shared" si="11"/>
        <v>(6.4.---28.6.---19.9.)</v>
      </c>
    </row>
    <row r="15" spans="1:43" x14ac:dyDescent="0.2">
      <c r="A15" s="1"/>
      <c r="B15" s="9">
        <f t="shared" si="9"/>
        <v>12</v>
      </c>
      <c r="C15" s="10"/>
      <c r="D15" s="9" t="s">
        <v>11</v>
      </c>
      <c r="E15" s="10"/>
      <c r="F15" s="11">
        <v>43582</v>
      </c>
      <c r="G15" s="12">
        <v>43574</v>
      </c>
      <c r="H15" s="11">
        <v>43575</v>
      </c>
      <c r="I15" s="12">
        <v>43570</v>
      </c>
      <c r="J15" s="11">
        <v>43572</v>
      </c>
      <c r="K15" s="12">
        <v>43568</v>
      </c>
      <c r="L15" s="11">
        <v>43571</v>
      </c>
      <c r="M15" s="12">
        <v>43577</v>
      </c>
      <c r="N15" s="11">
        <v>43571</v>
      </c>
      <c r="O15" s="12">
        <v>43581</v>
      </c>
      <c r="P15" s="11">
        <v>43571</v>
      </c>
      <c r="Q15" s="12">
        <v>43579</v>
      </c>
      <c r="R15" s="11">
        <v>43577</v>
      </c>
      <c r="S15" s="12">
        <v>43573</v>
      </c>
      <c r="T15" s="11">
        <v>43568</v>
      </c>
      <c r="U15" s="12">
        <v>43577</v>
      </c>
      <c r="V15" s="11">
        <v>43553</v>
      </c>
      <c r="W15" s="12">
        <v>43560</v>
      </c>
      <c r="X15" s="11">
        <v>43576</v>
      </c>
      <c r="Y15" s="12">
        <v>43560</v>
      </c>
      <c r="Z15" s="11">
        <v>43547</v>
      </c>
      <c r="AA15" s="12">
        <v>43557</v>
      </c>
      <c r="AB15" s="11">
        <v>43572</v>
      </c>
      <c r="AC15" s="12">
        <v>43567</v>
      </c>
      <c r="AD15" s="34"/>
      <c r="AE15" s="33">
        <f t="shared" si="2"/>
        <v>43547</v>
      </c>
      <c r="AF15" s="33">
        <f t="shared" si="3"/>
        <v>43571.5</v>
      </c>
      <c r="AG15" s="33">
        <f t="shared" si="4"/>
        <v>43582</v>
      </c>
      <c r="AH15">
        <v>12</v>
      </c>
      <c r="AK15" s="36" t="str">
        <f t="shared" si="5"/>
        <v/>
      </c>
      <c r="AL15" t="str">
        <f t="shared" si="10"/>
        <v/>
      </c>
      <c r="AM15" t="s">
        <v>393</v>
      </c>
      <c r="AN15">
        <f t="shared" si="6"/>
        <v>35</v>
      </c>
      <c r="AO15" t="str">
        <f t="shared" si="7"/>
        <v>23.3.---16.4.---27.4.</v>
      </c>
      <c r="AP15" t="str">
        <f t="shared" si="8"/>
        <v>Valkoposkihanhi</v>
      </c>
      <c r="AQ15" t="str">
        <f t="shared" si="11"/>
        <v>(23.3.---16.4.---27.4.)</v>
      </c>
    </row>
    <row r="16" spans="1:43" x14ac:dyDescent="0.2">
      <c r="A16" s="1"/>
      <c r="B16" s="9">
        <f t="shared" si="9"/>
        <v>13</v>
      </c>
      <c r="C16" s="10"/>
      <c r="D16" s="9" t="s">
        <v>12</v>
      </c>
      <c r="E16" s="10"/>
      <c r="F16" s="11">
        <v>43631</v>
      </c>
      <c r="G16" s="12">
        <v>43616</v>
      </c>
      <c r="H16" s="11">
        <v>43605</v>
      </c>
      <c r="I16" s="12">
        <v>43677</v>
      </c>
      <c r="J16" s="11">
        <v>43567</v>
      </c>
      <c r="K16" s="12">
        <v>43604</v>
      </c>
      <c r="L16" s="11">
        <v>43612</v>
      </c>
      <c r="M16" s="12">
        <v>43618</v>
      </c>
      <c r="N16" s="11">
        <v>43610</v>
      </c>
      <c r="O16" s="12">
        <v>43574</v>
      </c>
      <c r="P16" s="11">
        <v>43611</v>
      </c>
      <c r="Q16" s="12">
        <v>43579</v>
      </c>
      <c r="R16" s="11">
        <v>43598</v>
      </c>
      <c r="S16" s="12">
        <v>43633</v>
      </c>
      <c r="T16" s="11">
        <v>43601</v>
      </c>
      <c r="U16" s="12">
        <v>43606</v>
      </c>
      <c r="V16" s="11">
        <v>43605</v>
      </c>
      <c r="W16" s="12">
        <v>43598</v>
      </c>
      <c r="X16" s="11">
        <v>43574</v>
      </c>
      <c r="Y16" s="12">
        <v>43613</v>
      </c>
      <c r="Z16" s="11">
        <v>43607</v>
      </c>
      <c r="AA16" s="12">
        <v>43570</v>
      </c>
      <c r="AB16" s="11">
        <v>43613</v>
      </c>
      <c r="AC16" s="12">
        <v>43597</v>
      </c>
      <c r="AD16" s="34"/>
      <c r="AE16" s="33">
        <f t="shared" si="2"/>
        <v>43567</v>
      </c>
      <c r="AF16" s="33">
        <f t="shared" si="3"/>
        <v>43605.5</v>
      </c>
      <c r="AG16" s="33">
        <f t="shared" si="4"/>
        <v>43677</v>
      </c>
      <c r="AH16">
        <v>13</v>
      </c>
      <c r="AK16" s="36" t="str">
        <f t="shared" si="5"/>
        <v/>
      </c>
      <c r="AL16" t="str">
        <f t="shared" si="10"/>
        <v/>
      </c>
      <c r="AM16" t="s">
        <v>393</v>
      </c>
      <c r="AN16">
        <f t="shared" si="6"/>
        <v>110</v>
      </c>
      <c r="AO16" t="str">
        <f t="shared" si="7"/>
        <v>12.4.---20.5.---31.7.</v>
      </c>
      <c r="AP16" t="str">
        <f t="shared" si="8"/>
        <v>Sepelhanhi</v>
      </c>
      <c r="AQ16" t="str">
        <f t="shared" si="11"/>
        <v>(12.4.---20.5.---31.7.)</v>
      </c>
    </row>
    <row r="17" spans="1:43" x14ac:dyDescent="0.2">
      <c r="A17" s="1"/>
      <c r="B17" s="9">
        <f t="shared" si="9"/>
        <v>14</v>
      </c>
      <c r="C17" s="10"/>
      <c r="D17" s="13" t="s">
        <v>13</v>
      </c>
      <c r="E17" s="14"/>
      <c r="F17" s="11"/>
      <c r="G17" s="12"/>
      <c r="H17" s="11"/>
      <c r="I17" s="12"/>
      <c r="J17" s="11"/>
      <c r="K17" s="12">
        <v>43568</v>
      </c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>
        <v>43755</v>
      </c>
      <c r="Z17" s="11"/>
      <c r="AA17" s="12"/>
      <c r="AB17" s="11"/>
      <c r="AC17" s="12">
        <v>43584</v>
      </c>
      <c r="AD17" s="34"/>
      <c r="AE17" s="33">
        <f t="shared" si="2"/>
        <v>43568</v>
      </c>
      <c r="AF17" s="33">
        <f t="shared" si="3"/>
        <v>43584</v>
      </c>
      <c r="AG17" s="33">
        <f t="shared" si="4"/>
        <v>43755</v>
      </c>
      <c r="AH17">
        <v>14</v>
      </c>
      <c r="AK17" s="36" t="str">
        <f t="shared" si="5"/>
        <v/>
      </c>
      <c r="AL17" t="str">
        <f t="shared" si="10"/>
        <v/>
      </c>
      <c r="AM17" t="s">
        <v>393</v>
      </c>
      <c r="AN17">
        <f t="shared" si="6"/>
        <v>187</v>
      </c>
      <c r="AO17" t="str">
        <f t="shared" si="7"/>
        <v>13.4.---29.4.---17.10.</v>
      </c>
      <c r="AP17" t="str">
        <f t="shared" si="8"/>
        <v>Punakaulahanhi</v>
      </c>
      <c r="AQ17" t="str">
        <f t="shared" si="11"/>
        <v>(13.4.---29.4.---17.10.)</v>
      </c>
    </row>
    <row r="18" spans="1:43" x14ac:dyDescent="0.2">
      <c r="A18" s="1"/>
      <c r="B18" s="9">
        <f t="shared" si="9"/>
        <v>15</v>
      </c>
      <c r="C18" s="10"/>
      <c r="D18" s="13" t="s">
        <v>14</v>
      </c>
      <c r="E18" s="14"/>
      <c r="F18" s="11"/>
      <c r="G18" s="12"/>
      <c r="H18" s="11"/>
      <c r="I18" s="12">
        <v>43588</v>
      </c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>
        <v>43660</v>
      </c>
      <c r="U18" s="12">
        <v>43594</v>
      </c>
      <c r="V18" s="11">
        <v>43617</v>
      </c>
      <c r="W18" s="12">
        <v>43672</v>
      </c>
      <c r="X18" s="11">
        <v>43814</v>
      </c>
      <c r="Y18" s="12"/>
      <c r="Z18" s="11"/>
      <c r="AA18" s="12"/>
      <c r="AB18" s="11"/>
      <c r="AC18" s="12"/>
      <c r="AD18" s="34"/>
      <c r="AE18" s="33">
        <f t="shared" si="2"/>
        <v>43588</v>
      </c>
      <c r="AF18" s="33">
        <f t="shared" si="3"/>
        <v>43638.5</v>
      </c>
      <c r="AG18" s="33">
        <f t="shared" si="4"/>
        <v>43814</v>
      </c>
      <c r="AH18">
        <v>15</v>
      </c>
      <c r="AK18" s="36" t="str">
        <f t="shared" si="5"/>
        <v/>
      </c>
      <c r="AL18" t="str">
        <f t="shared" si="10"/>
        <v/>
      </c>
      <c r="AM18" t="s">
        <v>393</v>
      </c>
      <c r="AN18">
        <f t="shared" si="6"/>
        <v>226</v>
      </c>
      <c r="AO18" t="str">
        <f t="shared" si="7"/>
        <v>3.5.---22.6.---15.12.</v>
      </c>
      <c r="AP18" t="str">
        <f t="shared" si="8"/>
        <v>Ruostesorsa</v>
      </c>
      <c r="AQ18" t="str">
        <f t="shared" si="11"/>
        <v>(3.5.---22.6.---15.12.)</v>
      </c>
    </row>
    <row r="19" spans="1:43" x14ac:dyDescent="0.2">
      <c r="A19" s="1"/>
      <c r="B19" s="9">
        <f t="shared" si="9"/>
        <v>16</v>
      </c>
      <c r="C19" s="10"/>
      <c r="D19" s="9" t="s">
        <v>15</v>
      </c>
      <c r="E19" s="10"/>
      <c r="F19" s="11">
        <v>43555</v>
      </c>
      <c r="G19" s="12">
        <v>43562</v>
      </c>
      <c r="H19" s="11">
        <v>43559</v>
      </c>
      <c r="I19" s="12">
        <v>43570</v>
      </c>
      <c r="J19" s="11">
        <v>43560</v>
      </c>
      <c r="K19" s="12">
        <v>43558</v>
      </c>
      <c r="L19" s="11">
        <v>43563</v>
      </c>
      <c r="M19" s="12">
        <v>43553</v>
      </c>
      <c r="N19" s="11">
        <v>43557</v>
      </c>
      <c r="O19" s="12">
        <v>43563</v>
      </c>
      <c r="P19" s="11">
        <v>43560</v>
      </c>
      <c r="Q19" s="12">
        <v>43562</v>
      </c>
      <c r="R19" s="11">
        <v>43553</v>
      </c>
      <c r="S19" s="12">
        <v>43566</v>
      </c>
      <c r="T19" s="11">
        <v>43535</v>
      </c>
      <c r="U19" s="12">
        <v>43556</v>
      </c>
      <c r="V19" s="11">
        <v>43551</v>
      </c>
      <c r="W19" s="12">
        <v>43556</v>
      </c>
      <c r="X19" s="11">
        <v>43568</v>
      </c>
      <c r="Y19" s="12">
        <v>43557</v>
      </c>
      <c r="Z19" s="11">
        <v>43550</v>
      </c>
      <c r="AA19" s="12">
        <v>43559</v>
      </c>
      <c r="AB19" s="11">
        <v>43567</v>
      </c>
      <c r="AC19" s="12">
        <v>43565</v>
      </c>
      <c r="AD19" s="34"/>
      <c r="AE19" s="33">
        <f t="shared" si="2"/>
        <v>43535</v>
      </c>
      <c r="AF19" s="33">
        <f t="shared" si="3"/>
        <v>43559</v>
      </c>
      <c r="AG19" s="33">
        <f t="shared" si="4"/>
        <v>43570</v>
      </c>
      <c r="AH19">
        <v>16</v>
      </c>
      <c r="AK19" s="36" t="str">
        <f t="shared" si="5"/>
        <v/>
      </c>
      <c r="AL19" t="str">
        <f t="shared" si="10"/>
        <v/>
      </c>
      <c r="AM19" t="s">
        <v>393</v>
      </c>
      <c r="AN19">
        <f t="shared" si="6"/>
        <v>35</v>
      </c>
      <c r="AO19" t="str">
        <f t="shared" si="7"/>
        <v>11.3.---4.4.---15.4.</v>
      </c>
      <c r="AP19" t="str">
        <f t="shared" si="8"/>
        <v>Ristisorsa</v>
      </c>
      <c r="AQ19" t="str">
        <f t="shared" si="11"/>
        <v>(11.3.---4.4.---15.4.)</v>
      </c>
    </row>
    <row r="20" spans="1:43" x14ac:dyDescent="0.2">
      <c r="A20" s="1"/>
      <c r="B20" s="9">
        <f t="shared" si="9"/>
        <v>17</v>
      </c>
      <c r="C20" s="10"/>
      <c r="D20" s="13" t="s">
        <v>16</v>
      </c>
      <c r="E20" s="14"/>
      <c r="F20" s="11"/>
      <c r="G20" s="12"/>
      <c r="H20" s="11"/>
      <c r="I20" s="12"/>
      <c r="J20" s="11">
        <v>43576</v>
      </c>
      <c r="K20" s="12"/>
      <c r="L20" s="11"/>
      <c r="M20" s="12">
        <v>43581</v>
      </c>
      <c r="N20" s="11"/>
      <c r="O20" s="12"/>
      <c r="P20" s="11"/>
      <c r="Q20" s="12"/>
      <c r="R20" s="11">
        <v>43583</v>
      </c>
      <c r="S20" s="12"/>
      <c r="T20" s="11"/>
      <c r="U20" s="12">
        <v>43578</v>
      </c>
      <c r="V20" s="11"/>
      <c r="W20" s="12">
        <v>43589</v>
      </c>
      <c r="X20" s="11"/>
      <c r="Y20" s="12">
        <v>43583</v>
      </c>
      <c r="Z20" s="11">
        <v>43591</v>
      </c>
      <c r="AA20" s="12">
        <v>43580</v>
      </c>
      <c r="AB20" s="11">
        <v>43574</v>
      </c>
      <c r="AC20" s="12" t="s">
        <v>393</v>
      </c>
      <c r="AD20" s="34"/>
      <c r="AE20" s="33">
        <f t="shared" si="2"/>
        <v>43574</v>
      </c>
      <c r="AF20" s="33">
        <f t="shared" si="3"/>
        <v>43581</v>
      </c>
      <c r="AG20" s="33">
        <f t="shared" si="4"/>
        <v>43591</v>
      </c>
      <c r="AH20">
        <v>17</v>
      </c>
      <c r="AK20" s="36" t="str">
        <f t="shared" si="5"/>
        <v/>
      </c>
      <c r="AL20" t="str">
        <f t="shared" si="10"/>
        <v/>
      </c>
      <c r="AM20" t="s">
        <v>393</v>
      </c>
      <c r="AN20">
        <f t="shared" si="6"/>
        <v>17</v>
      </c>
      <c r="AO20" t="str">
        <f t="shared" si="7"/>
        <v>19.4.---26.4.---6.5.</v>
      </c>
      <c r="AP20" t="str">
        <f t="shared" si="8"/>
        <v>Mandariinisorsa</v>
      </c>
      <c r="AQ20" t="str">
        <f t="shared" si="11"/>
        <v>(19.4.---26.4.---6.5.)</v>
      </c>
    </row>
    <row r="21" spans="1:43" x14ac:dyDescent="0.2">
      <c r="A21" s="1"/>
      <c r="B21" s="9">
        <f t="shared" si="9"/>
        <v>18</v>
      </c>
      <c r="C21" s="10"/>
      <c r="D21" s="9" t="s">
        <v>17</v>
      </c>
      <c r="E21" s="10"/>
      <c r="F21" s="11">
        <f>IF(AG1,DATE(2019,1,6),DATE(2019,4,14))</f>
        <v>43569</v>
      </c>
      <c r="G21" s="12">
        <f>IF(AG1,DATE(2019,1,12),DATE(2019,4,7))</f>
        <v>43562</v>
      </c>
      <c r="H21" s="11">
        <v>43556</v>
      </c>
      <c r="I21" s="12">
        <v>43570</v>
      </c>
      <c r="J21" s="11">
        <v>43562</v>
      </c>
      <c r="K21" s="12">
        <v>43557</v>
      </c>
      <c r="L21" s="11">
        <v>43563</v>
      </c>
      <c r="M21" s="12">
        <v>43552</v>
      </c>
      <c r="N21" s="11">
        <f>IF(AG1,DATE(2019,1,11),DATE(2019,4,1))</f>
        <v>43556</v>
      </c>
      <c r="O21" s="12">
        <f>IF(AG1,DATE(2019,1,5),DATE(2019,4,12))</f>
        <v>43567</v>
      </c>
      <c r="P21" s="11">
        <v>43565</v>
      </c>
      <c r="Q21" s="12">
        <f>IF(AG1,DATE(2019,1,6),DATE(2019,4,8))</f>
        <v>43563</v>
      </c>
      <c r="R21" s="11">
        <f>IF(AG1,DATE(2019,1,1),DATE(2019,4,7))</f>
        <v>43562</v>
      </c>
      <c r="S21" s="12">
        <v>43571</v>
      </c>
      <c r="T21" s="11">
        <v>43537</v>
      </c>
      <c r="U21" s="12">
        <v>43553</v>
      </c>
      <c r="V21" s="11">
        <v>43552</v>
      </c>
      <c r="W21" s="12">
        <v>43559</v>
      </c>
      <c r="X21" s="11">
        <v>43569</v>
      </c>
      <c r="Y21" s="12">
        <v>43558</v>
      </c>
      <c r="Z21" s="11">
        <v>43542</v>
      </c>
      <c r="AA21" s="12">
        <f>IF(AG1,DATE(2019,1,5),DATE(2019,4,2))</f>
        <v>43557</v>
      </c>
      <c r="AB21" s="11">
        <v>43547</v>
      </c>
      <c r="AC21" s="12">
        <f>IF(AG1,DATE(2019,1,1),DATE(2019,4,20))</f>
        <v>43575</v>
      </c>
      <c r="AD21" s="34"/>
      <c r="AE21" s="33">
        <f t="shared" si="2"/>
        <v>43537</v>
      </c>
      <c r="AF21" s="33">
        <f t="shared" si="3"/>
        <v>43560.5</v>
      </c>
      <c r="AG21" s="33">
        <f t="shared" si="4"/>
        <v>43575</v>
      </c>
      <c r="AH21">
        <v>18</v>
      </c>
      <c r="AK21" s="36" t="str">
        <f t="shared" si="5"/>
        <v/>
      </c>
      <c r="AL21" t="str">
        <f t="shared" si="10"/>
        <v/>
      </c>
      <c r="AM21">
        <v>6</v>
      </c>
      <c r="AN21">
        <f t="shared" si="6"/>
        <v>38</v>
      </c>
      <c r="AO21" t="str">
        <f t="shared" si="7"/>
        <v>13.3.---5.4.---20.4.</v>
      </c>
      <c r="AP21" t="str">
        <f t="shared" si="8"/>
        <v>Haapana</v>
      </c>
      <c r="AQ21" t="str">
        <f t="shared" si="11"/>
        <v>(13.3.---5.4.---20.4., 6/21)</v>
      </c>
    </row>
    <row r="22" spans="1:43" x14ac:dyDescent="0.2">
      <c r="A22" s="1"/>
      <c r="B22" s="9">
        <f t="shared" si="9"/>
        <v>19</v>
      </c>
      <c r="C22" s="10"/>
      <c r="D22" s="15" t="s">
        <v>18</v>
      </c>
      <c r="E22" s="16"/>
      <c r="F22" s="11"/>
      <c r="G22" s="12"/>
      <c r="H22" s="11"/>
      <c r="I22" s="12">
        <v>43592</v>
      </c>
      <c r="J22" s="11">
        <v>43585</v>
      </c>
      <c r="K22" s="12"/>
      <c r="L22" s="11"/>
      <c r="M22" s="12"/>
      <c r="N22" s="11"/>
      <c r="O22" s="12"/>
      <c r="P22" s="11"/>
      <c r="Q22" s="12"/>
      <c r="R22" s="11"/>
      <c r="S22" s="12">
        <v>43714</v>
      </c>
      <c r="T22" s="11">
        <v>43573</v>
      </c>
      <c r="U22" s="12">
        <v>43626</v>
      </c>
      <c r="V22" s="11"/>
      <c r="W22" s="12"/>
      <c r="X22" s="11"/>
      <c r="Y22" s="12"/>
      <c r="Z22" s="11"/>
      <c r="AA22" s="12"/>
      <c r="AB22" s="11"/>
      <c r="AC22" s="12" t="s">
        <v>393</v>
      </c>
      <c r="AD22" s="34"/>
      <c r="AE22" s="33">
        <f t="shared" si="2"/>
        <v>43573</v>
      </c>
      <c r="AF22" s="33">
        <f t="shared" si="3"/>
        <v>43592</v>
      </c>
      <c r="AG22" s="33">
        <f t="shared" si="4"/>
        <v>43714</v>
      </c>
      <c r="AH22">
        <v>19</v>
      </c>
      <c r="AK22" s="36" t="str">
        <f t="shared" si="5"/>
        <v/>
      </c>
      <c r="AL22" t="str">
        <f t="shared" si="10"/>
        <v/>
      </c>
      <c r="AM22" t="s">
        <v>393</v>
      </c>
      <c r="AN22">
        <f t="shared" si="6"/>
        <v>141</v>
      </c>
      <c r="AO22" t="str">
        <f t="shared" si="7"/>
        <v>18.4.---7.5.---6.9.</v>
      </c>
      <c r="AP22" t="str">
        <f t="shared" si="8"/>
        <v>Amerikanhaapana</v>
      </c>
      <c r="AQ22" t="str">
        <f t="shared" si="11"/>
        <v>(18.4.---7.5.---6.9.)</v>
      </c>
    </row>
    <row r="23" spans="1:43" x14ac:dyDescent="0.2">
      <c r="A23" s="1"/>
      <c r="B23" s="9">
        <f t="shared" si="9"/>
        <v>20</v>
      </c>
      <c r="C23" s="10"/>
      <c r="D23" s="9" t="s">
        <v>19</v>
      </c>
      <c r="E23" s="10"/>
      <c r="F23" s="11">
        <v>43574</v>
      </c>
      <c r="G23" s="12">
        <v>43575</v>
      </c>
      <c r="H23" s="11">
        <v>43579</v>
      </c>
      <c r="I23" s="12">
        <v>43574</v>
      </c>
      <c r="J23" s="11">
        <v>43569</v>
      </c>
      <c r="K23" s="12">
        <v>43581</v>
      </c>
      <c r="L23" s="11">
        <v>43580</v>
      </c>
      <c r="M23" s="12">
        <v>43568</v>
      </c>
      <c r="N23" s="11">
        <v>43578</v>
      </c>
      <c r="O23" s="12">
        <v>43579</v>
      </c>
      <c r="P23" s="11">
        <v>43573</v>
      </c>
      <c r="Q23" s="12">
        <v>43574</v>
      </c>
      <c r="R23" s="11">
        <v>43571</v>
      </c>
      <c r="S23" s="12">
        <v>43579</v>
      </c>
      <c r="T23" s="11">
        <v>43560</v>
      </c>
      <c r="U23" s="12">
        <v>43564</v>
      </c>
      <c r="V23" s="11">
        <v>43565</v>
      </c>
      <c r="W23" s="12">
        <v>43565</v>
      </c>
      <c r="X23" s="11">
        <v>43575</v>
      </c>
      <c r="Y23" s="12">
        <v>43569</v>
      </c>
      <c r="Z23" s="11">
        <v>43562</v>
      </c>
      <c r="AA23" s="12">
        <v>43569</v>
      </c>
      <c r="AB23" s="11">
        <v>43571</v>
      </c>
      <c r="AC23" s="12">
        <v>43574</v>
      </c>
      <c r="AD23" s="34"/>
      <c r="AE23" s="33">
        <f t="shared" si="2"/>
        <v>43560</v>
      </c>
      <c r="AF23" s="33">
        <f t="shared" si="3"/>
        <v>43573.5</v>
      </c>
      <c r="AG23" s="33">
        <f t="shared" si="4"/>
        <v>43581</v>
      </c>
      <c r="AH23">
        <v>20</v>
      </c>
      <c r="AK23" s="36" t="str">
        <f t="shared" si="5"/>
        <v/>
      </c>
      <c r="AL23" t="str">
        <f t="shared" si="10"/>
        <v/>
      </c>
      <c r="AM23" t="s">
        <v>393</v>
      </c>
      <c r="AN23">
        <f t="shared" si="6"/>
        <v>21</v>
      </c>
      <c r="AO23" t="str">
        <f t="shared" si="7"/>
        <v>5.4.---18.4.---26.4.</v>
      </c>
      <c r="AP23" t="str">
        <f t="shared" si="8"/>
        <v>Harmaasorsa</v>
      </c>
      <c r="AQ23" t="str">
        <f t="shared" si="11"/>
        <v>(5.4.---18.4.---26.4.)</v>
      </c>
    </row>
    <row r="24" spans="1:43" x14ac:dyDescent="0.2">
      <c r="A24" s="1"/>
      <c r="B24" s="9">
        <f t="shared" si="9"/>
        <v>21</v>
      </c>
      <c r="C24" s="10"/>
      <c r="D24" s="9" t="s">
        <v>20</v>
      </c>
      <c r="E24" s="10"/>
      <c r="F24" s="11">
        <f>IF(AG1,DATE(2019,1,3),DATE(2019,4,13))</f>
        <v>43568</v>
      </c>
      <c r="G24" s="12">
        <f>IF(AG1,DATE(2019,1,12),DATE(2019,4,7))</f>
        <v>43562</v>
      </c>
      <c r="H24" s="11">
        <v>43560</v>
      </c>
      <c r="I24" s="12">
        <v>43570</v>
      </c>
      <c r="J24" s="11">
        <v>43564</v>
      </c>
      <c r="K24" s="12">
        <v>43558</v>
      </c>
      <c r="L24" s="11">
        <v>43569</v>
      </c>
      <c r="M24" s="12">
        <f>IF(AG1,DATE(2019,1,2),DATE(2019,3,30))</f>
        <v>43554</v>
      </c>
      <c r="N24" s="11">
        <v>43556</v>
      </c>
      <c r="O24" s="12">
        <f>IF(AG1,DATE(2019,1,9),DATE(2019,3,31))</f>
        <v>43555</v>
      </c>
      <c r="P24" s="11">
        <f>IF(AG1,DATE(2019,1,1),DATE(2019,4,10))</f>
        <v>43565</v>
      </c>
      <c r="Q24" s="12">
        <v>43559</v>
      </c>
      <c r="R24" s="11">
        <f>IF(AG1,DATE(2019,1,1),DATE(2019,4,12))</f>
        <v>43567</v>
      </c>
      <c r="S24" s="12">
        <f>IF(AG1,DATE(2019,1,19),DATE(2019,4,17))</f>
        <v>43572</v>
      </c>
      <c r="T24" s="11">
        <v>43537</v>
      </c>
      <c r="U24" s="12">
        <v>43560</v>
      </c>
      <c r="V24" s="11">
        <v>43558</v>
      </c>
      <c r="W24" s="12">
        <v>43565</v>
      </c>
      <c r="X24" s="11">
        <f>IF(AG1,DATE(2019,1,14),DATE(2019,4,20))</f>
        <v>43575</v>
      </c>
      <c r="Y24" s="12">
        <f>IF(AG1,DATE(2019,1,2),DATE(2019,3,23))</f>
        <v>43547</v>
      </c>
      <c r="Z24" s="11">
        <v>43550</v>
      </c>
      <c r="AA24" s="12">
        <f>IF(AG1,DATE(2019,1,22),DATE(2019,3,31))</f>
        <v>43555</v>
      </c>
      <c r="AB24" s="11">
        <v>43569</v>
      </c>
      <c r="AC24" s="12">
        <f>IF(AG1,DATE(2019,1,1),DATE(2019,4,13))</f>
        <v>43568</v>
      </c>
      <c r="AD24" s="34"/>
      <c r="AE24" s="33">
        <f t="shared" si="2"/>
        <v>43537</v>
      </c>
      <c r="AF24" s="33">
        <f t="shared" si="3"/>
        <v>43561</v>
      </c>
      <c r="AG24" s="33">
        <f t="shared" si="4"/>
        <v>43575</v>
      </c>
      <c r="AH24">
        <v>22</v>
      </c>
      <c r="AK24" s="36" t="str">
        <f t="shared" si="5"/>
        <v/>
      </c>
      <c r="AL24" t="str">
        <f t="shared" si="10"/>
        <v/>
      </c>
      <c r="AM24">
        <v>9</v>
      </c>
      <c r="AN24">
        <f t="shared" si="6"/>
        <v>38</v>
      </c>
      <c r="AO24" t="str">
        <f t="shared" si="7"/>
        <v>13.3.---6.4.---20.4.</v>
      </c>
      <c r="AP24" t="str">
        <f t="shared" si="8"/>
        <v>Tavi</v>
      </c>
      <c r="AQ24" t="str">
        <f t="shared" si="11"/>
        <v>(13.3.---6.4.---20.4., 9/21)</v>
      </c>
    </row>
    <row r="25" spans="1:43" x14ac:dyDescent="0.2">
      <c r="A25" s="1"/>
      <c r="B25" s="9">
        <f t="shared" si="9"/>
        <v>22</v>
      </c>
      <c r="C25" s="10"/>
      <c r="D25" s="15" t="s">
        <v>21</v>
      </c>
      <c r="E25" s="16"/>
      <c r="F25" s="11"/>
      <c r="G25" s="12"/>
      <c r="H25" s="11"/>
      <c r="I25" s="12"/>
      <c r="J25" s="11">
        <v>43583</v>
      </c>
      <c r="K25" s="12">
        <v>43585</v>
      </c>
      <c r="L25" s="11">
        <v>43589</v>
      </c>
      <c r="M25" s="12">
        <v>43576</v>
      </c>
      <c r="N25" s="11"/>
      <c r="O25" s="12"/>
      <c r="P25" s="11"/>
      <c r="Q25" s="12">
        <v>43606</v>
      </c>
      <c r="R25" s="11"/>
      <c r="S25" s="12"/>
      <c r="T25" s="11"/>
      <c r="U25" s="12">
        <v>43593</v>
      </c>
      <c r="V25" s="11"/>
      <c r="W25" s="12">
        <v>43603</v>
      </c>
      <c r="X25" s="11">
        <v>43590</v>
      </c>
      <c r="Y25" s="12"/>
      <c r="Z25" s="11">
        <v>43599</v>
      </c>
      <c r="AA25" s="12"/>
      <c r="AB25" s="11"/>
      <c r="AC25" s="12">
        <v>43584</v>
      </c>
      <c r="AD25" s="34"/>
      <c r="AE25" s="33">
        <f t="shared" si="2"/>
        <v>43576</v>
      </c>
      <c r="AF25" s="33">
        <f t="shared" si="3"/>
        <v>43589.5</v>
      </c>
      <c r="AG25" s="33">
        <f t="shared" si="4"/>
        <v>43606</v>
      </c>
      <c r="AH25">
        <v>23</v>
      </c>
      <c r="AK25" s="36" t="str">
        <f t="shared" si="5"/>
        <v/>
      </c>
      <c r="AL25" t="str">
        <f t="shared" si="10"/>
        <v/>
      </c>
      <c r="AM25" t="s">
        <v>393</v>
      </c>
      <c r="AN25">
        <f t="shared" si="6"/>
        <v>30</v>
      </c>
      <c r="AO25" t="str">
        <f t="shared" si="7"/>
        <v>21.4.---4.5.---21.5.</v>
      </c>
      <c r="AP25" t="str">
        <f t="shared" si="8"/>
        <v>Amerikantavi</v>
      </c>
      <c r="AQ25" t="str">
        <f t="shared" si="11"/>
        <v>(21.4.---4.5.---21.5.)</v>
      </c>
    </row>
    <row r="26" spans="1:43" x14ac:dyDescent="0.2">
      <c r="A26" s="1"/>
      <c r="B26" s="9">
        <f t="shared" si="9"/>
        <v>23</v>
      </c>
      <c r="C26" s="10"/>
      <c r="D26" s="9" t="s">
        <v>22</v>
      </c>
      <c r="E26" s="10"/>
      <c r="F26" s="11">
        <v>43466</v>
      </c>
      <c r="G26" s="12">
        <v>43466</v>
      </c>
      <c r="H26" s="11">
        <v>43466</v>
      </c>
      <c r="I26" s="12">
        <v>43466</v>
      </c>
      <c r="J26" s="11">
        <v>43466</v>
      </c>
      <c r="K26" s="12">
        <f>IF(AG1,DATE(2019,1,1),DATE(2019,3,25))</f>
        <v>43549</v>
      </c>
      <c r="L26" s="11">
        <f>IF(AG1,DATE(2019,1,1),DATE(2019,4,5))</f>
        <v>43560</v>
      </c>
      <c r="M26" s="12">
        <v>43466</v>
      </c>
      <c r="N26" s="11">
        <v>43466</v>
      </c>
      <c r="O26" s="12">
        <v>43466</v>
      </c>
      <c r="P26" s="11">
        <v>43466</v>
      </c>
      <c r="Q26" s="12">
        <v>43466</v>
      </c>
      <c r="R26" s="11">
        <v>43466</v>
      </c>
      <c r="S26" s="12">
        <v>43466</v>
      </c>
      <c r="T26" s="11">
        <v>43466</v>
      </c>
      <c r="U26" s="12">
        <v>43466</v>
      </c>
      <c r="V26" s="11">
        <v>43466</v>
      </c>
      <c r="W26" s="12">
        <v>43466</v>
      </c>
      <c r="X26" s="11">
        <f>IF(AG1,DATE(2019,1,1),DATE(2019,3,17))</f>
        <v>43541</v>
      </c>
      <c r="Y26" s="12">
        <v>43466</v>
      </c>
      <c r="Z26" s="11">
        <v>43466</v>
      </c>
      <c r="AA26" s="12">
        <v>43466</v>
      </c>
      <c r="AB26" s="11">
        <v>43466</v>
      </c>
      <c r="AC26" s="12">
        <v>43466</v>
      </c>
      <c r="AD26" s="34"/>
      <c r="AE26" s="33">
        <f t="shared" si="2"/>
        <v>43466</v>
      </c>
      <c r="AF26" s="33">
        <f t="shared" si="3"/>
        <v>43466</v>
      </c>
      <c r="AG26" s="33">
        <f t="shared" si="4"/>
        <v>43560</v>
      </c>
      <c r="AH26">
        <v>24</v>
      </c>
      <c r="AK26" s="36" t="str">
        <f t="shared" si="5"/>
        <v/>
      </c>
      <c r="AL26">
        <f t="shared" si="10"/>
        <v>18</v>
      </c>
      <c r="AM26">
        <v>21</v>
      </c>
      <c r="AN26">
        <f t="shared" si="6"/>
        <v>94</v>
      </c>
      <c r="AO26" t="str">
        <f t="shared" si="7"/>
        <v>1.1.---1.1.---5.4.</v>
      </c>
      <c r="AP26" t="str">
        <f t="shared" si="8"/>
        <v>Sinisorsa</v>
      </c>
      <c r="AQ26" t="str">
        <f t="shared" si="11"/>
        <v>(1.1.---1.1.---5.4., 21/21)</v>
      </c>
    </row>
    <row r="27" spans="1:43" x14ac:dyDescent="0.2">
      <c r="A27" s="1"/>
      <c r="B27" s="9">
        <f t="shared" si="9"/>
        <v>24</v>
      </c>
      <c r="C27" s="10"/>
      <c r="D27" s="9" t="s">
        <v>23</v>
      </c>
      <c r="E27" s="10"/>
      <c r="F27" s="11">
        <v>43571</v>
      </c>
      <c r="G27" s="12">
        <v>43563</v>
      </c>
      <c r="H27" s="11">
        <v>43555</v>
      </c>
      <c r="I27" s="12">
        <v>43571</v>
      </c>
      <c r="J27" s="11">
        <v>43564</v>
      </c>
      <c r="K27" s="12">
        <v>43564</v>
      </c>
      <c r="L27" s="11">
        <v>43572</v>
      </c>
      <c r="M27" s="12">
        <v>43552</v>
      </c>
      <c r="N27" s="11">
        <v>43561</v>
      </c>
      <c r="O27" s="12">
        <v>43567</v>
      </c>
      <c r="P27" s="11">
        <v>43567</v>
      </c>
      <c r="Q27" s="12">
        <v>43570</v>
      </c>
      <c r="R27" s="11">
        <v>43569</v>
      </c>
      <c r="S27" s="12">
        <v>43573</v>
      </c>
      <c r="T27" s="11">
        <v>43556</v>
      </c>
      <c r="U27" s="12">
        <v>43556</v>
      </c>
      <c r="V27" s="11">
        <v>43552</v>
      </c>
      <c r="W27" s="12">
        <v>43561</v>
      </c>
      <c r="X27" s="11">
        <v>43557</v>
      </c>
      <c r="Y27" s="12">
        <v>43562</v>
      </c>
      <c r="Z27" s="11">
        <v>43551</v>
      </c>
      <c r="AA27" s="12">
        <v>43559</v>
      </c>
      <c r="AB27" s="11">
        <v>43571</v>
      </c>
      <c r="AC27" s="12">
        <v>43568</v>
      </c>
      <c r="AD27" s="34"/>
      <c r="AE27" s="33">
        <f t="shared" si="2"/>
        <v>43551</v>
      </c>
      <c r="AF27" s="33">
        <f t="shared" si="3"/>
        <v>43563.5</v>
      </c>
      <c r="AG27" s="33">
        <f t="shared" si="4"/>
        <v>43573</v>
      </c>
      <c r="AH27">
        <v>26</v>
      </c>
      <c r="AK27" s="36" t="str">
        <f t="shared" si="5"/>
        <v/>
      </c>
      <c r="AL27" t="str">
        <f t="shared" si="10"/>
        <v/>
      </c>
      <c r="AM27" t="s">
        <v>393</v>
      </c>
      <c r="AN27">
        <f t="shared" si="6"/>
        <v>22</v>
      </c>
      <c r="AO27" t="str">
        <f t="shared" si="7"/>
        <v>27.3.---8.4.---18.4.</v>
      </c>
      <c r="AP27" t="str">
        <f t="shared" si="8"/>
        <v>Jouhisorsa</v>
      </c>
      <c r="AQ27" t="str">
        <f t="shared" si="11"/>
        <v>(27.3.---8.4.---18.4.)</v>
      </c>
    </row>
    <row r="28" spans="1:43" x14ac:dyDescent="0.2">
      <c r="A28" s="1"/>
      <c r="B28" s="9">
        <f t="shared" si="9"/>
        <v>25</v>
      </c>
      <c r="C28" s="10"/>
      <c r="D28" s="9" t="s">
        <v>24</v>
      </c>
      <c r="E28" s="10"/>
      <c r="F28" s="11">
        <v>43579</v>
      </c>
      <c r="G28" s="12">
        <v>43583</v>
      </c>
      <c r="H28" s="11">
        <v>43582</v>
      </c>
      <c r="I28" s="12">
        <v>43580</v>
      </c>
      <c r="J28" s="11">
        <v>43571</v>
      </c>
      <c r="K28" s="12">
        <v>43582</v>
      </c>
      <c r="L28" s="11">
        <v>43576</v>
      </c>
      <c r="M28" s="12">
        <v>43572</v>
      </c>
      <c r="N28" s="11">
        <v>43580</v>
      </c>
      <c r="O28" s="12">
        <v>43578</v>
      </c>
      <c r="P28" s="11">
        <v>43586</v>
      </c>
      <c r="Q28" s="12">
        <v>43573</v>
      </c>
      <c r="R28" s="11">
        <v>43580</v>
      </c>
      <c r="S28" s="12">
        <v>43581</v>
      </c>
      <c r="T28" s="11">
        <v>43568</v>
      </c>
      <c r="U28" s="12">
        <v>43557</v>
      </c>
      <c r="V28" s="11">
        <v>43564</v>
      </c>
      <c r="W28" s="12">
        <v>43581</v>
      </c>
      <c r="X28" s="11">
        <v>43581</v>
      </c>
      <c r="Y28" s="12">
        <v>43576</v>
      </c>
      <c r="Z28" s="11">
        <v>43576</v>
      </c>
      <c r="AA28" s="12">
        <v>43574</v>
      </c>
      <c r="AB28" s="11">
        <v>43579</v>
      </c>
      <c r="AC28" s="12">
        <v>43576</v>
      </c>
      <c r="AD28" s="34"/>
      <c r="AE28" s="33">
        <f t="shared" si="2"/>
        <v>43557</v>
      </c>
      <c r="AF28" s="33">
        <f t="shared" si="3"/>
        <v>43578.5</v>
      </c>
      <c r="AG28" s="33">
        <f t="shared" si="4"/>
        <v>43586</v>
      </c>
      <c r="AH28">
        <v>27</v>
      </c>
      <c r="AK28" s="36" t="str">
        <f t="shared" si="5"/>
        <v/>
      </c>
      <c r="AL28" t="str">
        <f t="shared" si="10"/>
        <v/>
      </c>
      <c r="AM28" t="s">
        <v>393</v>
      </c>
      <c r="AN28">
        <f t="shared" si="6"/>
        <v>29</v>
      </c>
      <c r="AO28" t="str">
        <f t="shared" si="7"/>
        <v>2.4.---23.4.---1.5.</v>
      </c>
      <c r="AP28" t="str">
        <f t="shared" si="8"/>
        <v>Heinätavi</v>
      </c>
      <c r="AQ28" t="str">
        <f t="shared" si="11"/>
        <v>(2.4.---23.4.---1.5.)</v>
      </c>
    </row>
    <row r="29" spans="1:43" x14ac:dyDescent="0.2">
      <c r="A29" s="1"/>
      <c r="B29" s="9">
        <f t="shared" si="9"/>
        <v>26</v>
      </c>
      <c r="C29" s="10"/>
      <c r="D29" s="15" t="s">
        <v>25</v>
      </c>
      <c r="E29" s="16"/>
      <c r="F29" s="11"/>
      <c r="G29" s="12"/>
      <c r="H29" s="11"/>
      <c r="I29" s="12"/>
      <c r="J29" s="11">
        <v>43589</v>
      </c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11"/>
      <c r="W29" s="12">
        <v>43607</v>
      </c>
      <c r="X29" s="11"/>
      <c r="Y29" s="12"/>
      <c r="Z29" s="11"/>
      <c r="AA29" s="12"/>
      <c r="AB29" s="11"/>
      <c r="AC29" s="12" t="s">
        <v>393</v>
      </c>
      <c r="AD29" s="34"/>
      <c r="AE29" s="33">
        <f t="shared" si="2"/>
        <v>43589</v>
      </c>
      <c r="AF29" s="33">
        <f t="shared" si="3"/>
        <v>43598</v>
      </c>
      <c r="AG29" s="33">
        <f t="shared" si="4"/>
        <v>43607</v>
      </c>
      <c r="AH29">
        <v>28</v>
      </c>
      <c r="AK29" s="36" t="str">
        <f t="shared" si="5"/>
        <v/>
      </c>
      <c r="AL29" t="str">
        <f t="shared" si="10"/>
        <v/>
      </c>
      <c r="AM29" t="s">
        <v>393</v>
      </c>
      <c r="AN29">
        <f t="shared" si="6"/>
        <v>18</v>
      </c>
      <c r="AO29" t="str">
        <f t="shared" si="7"/>
        <v>4.5.---13.5.---22.5.</v>
      </c>
      <c r="AP29" t="str">
        <f t="shared" si="8"/>
        <v>Sinisiipitavi</v>
      </c>
      <c r="AQ29" t="str">
        <f t="shared" si="11"/>
        <v>(4.5.---13.5.---22.5.)</v>
      </c>
    </row>
    <row r="30" spans="1:43" x14ac:dyDescent="0.2">
      <c r="A30" s="1"/>
      <c r="B30" s="9">
        <f t="shared" si="9"/>
        <v>27</v>
      </c>
      <c r="C30" s="10"/>
      <c r="D30" s="9" t="s">
        <v>26</v>
      </c>
      <c r="E30" s="10"/>
      <c r="F30" s="11">
        <v>43572</v>
      </c>
      <c r="G30" s="12">
        <v>43563</v>
      </c>
      <c r="H30" s="11">
        <v>43576</v>
      </c>
      <c r="I30" s="12">
        <v>43572</v>
      </c>
      <c r="J30" s="11">
        <v>43572</v>
      </c>
      <c r="K30" s="12">
        <v>43569</v>
      </c>
      <c r="L30" s="11">
        <v>43576</v>
      </c>
      <c r="M30" s="12">
        <v>43554</v>
      </c>
      <c r="N30" s="11">
        <v>43575</v>
      </c>
      <c r="O30" s="12">
        <v>43577</v>
      </c>
      <c r="P30" s="11">
        <v>43575</v>
      </c>
      <c r="Q30" s="12">
        <v>43571</v>
      </c>
      <c r="R30" s="11">
        <v>43575</v>
      </c>
      <c r="S30" s="12">
        <v>43575</v>
      </c>
      <c r="T30" s="11">
        <v>43567</v>
      </c>
      <c r="U30" s="12">
        <v>43566</v>
      </c>
      <c r="V30" s="11">
        <v>43569</v>
      </c>
      <c r="W30" s="12">
        <v>43580</v>
      </c>
      <c r="X30" s="11">
        <v>43578</v>
      </c>
      <c r="Y30" s="12">
        <v>43574</v>
      </c>
      <c r="Z30" s="11">
        <v>43569</v>
      </c>
      <c r="AA30" s="12">
        <v>43574</v>
      </c>
      <c r="AB30" s="11">
        <v>43582</v>
      </c>
      <c r="AC30" s="12">
        <v>43575</v>
      </c>
      <c r="AD30" s="34"/>
      <c r="AE30" s="33">
        <f t="shared" si="2"/>
        <v>43554</v>
      </c>
      <c r="AF30" s="33">
        <f t="shared" si="3"/>
        <v>43574</v>
      </c>
      <c r="AG30" s="33">
        <f t="shared" si="4"/>
        <v>43582</v>
      </c>
      <c r="AH30">
        <v>29</v>
      </c>
      <c r="AK30" s="36" t="str">
        <f t="shared" si="5"/>
        <v/>
      </c>
      <c r="AL30" t="str">
        <f t="shared" si="10"/>
        <v/>
      </c>
      <c r="AM30" t="s">
        <v>393</v>
      </c>
      <c r="AN30">
        <f t="shared" si="6"/>
        <v>28</v>
      </c>
      <c r="AO30" t="str">
        <f t="shared" si="7"/>
        <v>30.3.---19.4.---27.4.</v>
      </c>
      <c r="AP30" t="str">
        <f t="shared" si="8"/>
        <v>Lapasorsa</v>
      </c>
      <c r="AQ30" t="str">
        <f t="shared" si="11"/>
        <v>(30.3.---19.4.---27.4.)</v>
      </c>
    </row>
    <row r="31" spans="1:43" x14ac:dyDescent="0.2">
      <c r="A31" s="1"/>
      <c r="B31" s="9">
        <f t="shared" si="9"/>
        <v>28</v>
      </c>
      <c r="C31" s="10"/>
      <c r="D31" s="15" t="s">
        <v>27</v>
      </c>
      <c r="E31" s="16"/>
      <c r="F31" s="11"/>
      <c r="G31" s="12"/>
      <c r="H31" s="11"/>
      <c r="I31" s="12"/>
      <c r="J31" s="11"/>
      <c r="K31" s="12"/>
      <c r="L31" s="11"/>
      <c r="M31" s="12">
        <v>43578</v>
      </c>
      <c r="N31" s="11"/>
      <c r="O31" s="12"/>
      <c r="P31" s="11"/>
      <c r="Q31" s="12"/>
      <c r="R31" s="11"/>
      <c r="S31" s="12"/>
      <c r="T31" s="11"/>
      <c r="U31" s="12">
        <v>43582</v>
      </c>
      <c r="V31" s="11"/>
      <c r="W31" s="12"/>
      <c r="X31" s="11"/>
      <c r="Y31" s="12"/>
      <c r="Z31" s="11"/>
      <c r="AA31" s="12"/>
      <c r="AB31" s="11"/>
      <c r="AC31" s="12" t="s">
        <v>393</v>
      </c>
      <c r="AD31" s="34"/>
      <c r="AE31" s="33">
        <f t="shared" si="2"/>
        <v>43578</v>
      </c>
      <c r="AF31" s="33">
        <f t="shared" si="3"/>
        <v>43580</v>
      </c>
      <c r="AG31" s="33">
        <f t="shared" si="4"/>
        <v>43582</v>
      </c>
      <c r="AH31">
        <v>30</v>
      </c>
      <c r="AK31" s="36" t="str">
        <f t="shared" si="5"/>
        <v/>
      </c>
      <c r="AL31" t="str">
        <f t="shared" si="10"/>
        <v/>
      </c>
      <c r="AM31" t="s">
        <v>393</v>
      </c>
      <c r="AN31">
        <f t="shared" si="6"/>
        <v>4</v>
      </c>
      <c r="AO31" t="str">
        <f t="shared" si="7"/>
        <v>23.4.---25.4.---27.4.</v>
      </c>
      <c r="AP31" t="str">
        <f t="shared" si="8"/>
        <v>Punapäänarsku</v>
      </c>
      <c r="AQ31" t="str">
        <f t="shared" si="11"/>
        <v>(23.4.---25.4.---27.4.)</v>
      </c>
    </row>
    <row r="32" spans="1:43" x14ac:dyDescent="0.2">
      <c r="A32" s="1"/>
      <c r="B32" s="9">
        <f t="shared" si="9"/>
        <v>29</v>
      </c>
      <c r="C32" s="10"/>
      <c r="D32" s="9" t="s">
        <v>28</v>
      </c>
      <c r="E32" s="10"/>
      <c r="F32" s="11">
        <v>43568</v>
      </c>
      <c r="G32" s="12">
        <v>43556</v>
      </c>
      <c r="H32" s="11">
        <v>43579</v>
      </c>
      <c r="I32" s="12">
        <v>43580</v>
      </c>
      <c r="J32" s="11">
        <v>43564</v>
      </c>
      <c r="K32" s="12">
        <v>43579</v>
      </c>
      <c r="L32" s="11">
        <v>43581</v>
      </c>
      <c r="M32" s="12">
        <v>43567</v>
      </c>
      <c r="N32" s="11">
        <v>43561</v>
      </c>
      <c r="O32" s="12">
        <v>43568</v>
      </c>
      <c r="P32" s="11">
        <v>43575</v>
      </c>
      <c r="Q32" s="12">
        <v>43562</v>
      </c>
      <c r="R32" s="11">
        <v>43571</v>
      </c>
      <c r="S32" s="12">
        <v>43578</v>
      </c>
      <c r="T32" s="11">
        <v>43553</v>
      </c>
      <c r="U32" s="12">
        <v>43566</v>
      </c>
      <c r="V32" s="11">
        <v>43567</v>
      </c>
      <c r="W32" s="12">
        <v>43587</v>
      </c>
      <c r="X32" s="11">
        <v>43582</v>
      </c>
      <c r="Y32" s="12">
        <v>43573</v>
      </c>
      <c r="Z32" s="11">
        <v>43569</v>
      </c>
      <c r="AA32" s="12">
        <v>43571</v>
      </c>
      <c r="AB32" s="11">
        <v>43582</v>
      </c>
      <c r="AC32" s="12">
        <v>43590</v>
      </c>
      <c r="AD32" s="34"/>
      <c r="AE32" s="33">
        <f t="shared" si="2"/>
        <v>43553</v>
      </c>
      <c r="AF32" s="33">
        <f t="shared" si="3"/>
        <v>43571</v>
      </c>
      <c r="AG32" s="33">
        <f t="shared" si="4"/>
        <v>43590</v>
      </c>
      <c r="AH32">
        <v>31</v>
      </c>
      <c r="AK32" s="36" t="str">
        <f t="shared" si="5"/>
        <v/>
      </c>
      <c r="AL32" t="str">
        <f t="shared" si="10"/>
        <v/>
      </c>
      <c r="AM32" t="s">
        <v>393</v>
      </c>
      <c r="AN32">
        <f t="shared" si="6"/>
        <v>37</v>
      </c>
      <c r="AO32" t="str">
        <f t="shared" si="7"/>
        <v>29.3.---16.4.---5.5.</v>
      </c>
      <c r="AP32" t="str">
        <f t="shared" si="8"/>
        <v>Punasotka</v>
      </c>
      <c r="AQ32" t="str">
        <f t="shared" si="11"/>
        <v>(29.3.---16.4.---5.5.)</v>
      </c>
    </row>
    <row r="33" spans="1:43" x14ac:dyDescent="0.2">
      <c r="A33" s="1"/>
      <c r="B33" s="9">
        <f t="shared" si="9"/>
        <v>30</v>
      </c>
      <c r="C33" s="10"/>
      <c r="D33" s="15" t="s">
        <v>29</v>
      </c>
      <c r="E33" s="16"/>
      <c r="F33" s="11"/>
      <c r="G33" s="12"/>
      <c r="H33" s="11"/>
      <c r="I33" s="12"/>
      <c r="J33" s="11"/>
      <c r="K33" s="12"/>
      <c r="L33" s="11"/>
      <c r="M33" s="12">
        <v>43587</v>
      </c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>
        <v>43586</v>
      </c>
      <c r="Z33" s="11"/>
      <c r="AA33" s="12"/>
      <c r="AB33" s="11"/>
      <c r="AC33" s="12" t="s">
        <v>393</v>
      </c>
      <c r="AD33" s="34"/>
      <c r="AE33" s="33">
        <f t="shared" si="2"/>
        <v>43586</v>
      </c>
      <c r="AF33" s="33">
        <f t="shared" si="3"/>
        <v>43586.5</v>
      </c>
      <c r="AG33" s="33">
        <f t="shared" si="4"/>
        <v>43587</v>
      </c>
      <c r="AH33">
        <v>32</v>
      </c>
      <c r="AK33" s="36" t="str">
        <f t="shared" si="5"/>
        <v/>
      </c>
      <c r="AL33" t="str">
        <f t="shared" si="10"/>
        <v/>
      </c>
      <c r="AM33" t="s">
        <v>393</v>
      </c>
      <c r="AN33">
        <f t="shared" si="6"/>
        <v>1</v>
      </c>
      <c r="AO33" t="str">
        <f t="shared" si="7"/>
        <v>1.5.---1.5.---2.5.</v>
      </c>
      <c r="AP33" t="str">
        <f t="shared" si="8"/>
        <v>Amerikantukkasotka</v>
      </c>
      <c r="AQ33" t="str">
        <f t="shared" si="11"/>
        <v>(1.5.---1.5.---2.5.)</v>
      </c>
    </row>
    <row r="34" spans="1:43" x14ac:dyDescent="0.2">
      <c r="A34" s="1"/>
      <c r="B34" s="9">
        <f t="shared" si="9"/>
        <v>31</v>
      </c>
      <c r="C34" s="10"/>
      <c r="D34" s="9" t="s">
        <v>30</v>
      </c>
      <c r="E34" s="10"/>
      <c r="F34" s="11">
        <f>IF(AG1,DATE(2019,1,2),DATE(2019,4,13))</f>
        <v>43568</v>
      </c>
      <c r="G34" s="12">
        <f>IF(AG1,DATE(2019,1,1),DATE(2019,4,3))</f>
        <v>43558</v>
      </c>
      <c r="H34" s="11">
        <v>43576</v>
      </c>
      <c r="I34" s="12">
        <v>43527</v>
      </c>
      <c r="J34" s="11">
        <v>43562</v>
      </c>
      <c r="K34" s="12">
        <f>IF(AG1,DATE(2019,1,10),DATE(2019,4,12))</f>
        <v>43567</v>
      </c>
      <c r="L34" s="11">
        <f>IF(AG1,DATE(2019,1,1),DATE(2019,4,14))</f>
        <v>43569</v>
      </c>
      <c r="M34" s="12">
        <v>43550</v>
      </c>
      <c r="N34" s="11">
        <f>IF(AG1,DATE(2019,1,1),DATE(2019,4,1))</f>
        <v>43556</v>
      </c>
      <c r="O34" s="12">
        <v>43576</v>
      </c>
      <c r="P34" s="11">
        <f>IF(AG1,DATE(2019,1,7),DATE(2019,4,9))</f>
        <v>43564</v>
      </c>
      <c r="Q34" s="12">
        <v>43569</v>
      </c>
      <c r="R34" s="11">
        <f>IF(AG1,DATE(2019,1,1),DATE(2019,4,7))</f>
        <v>43562</v>
      </c>
      <c r="S34" s="12">
        <v>43570</v>
      </c>
      <c r="T34" s="11">
        <f>IF(AG1,DATE(2019,1,1),DATE(2019,3,28))</f>
        <v>43552</v>
      </c>
      <c r="U34" s="12">
        <f>IF(AG1,DATE(2019,1,2),DATE(2019,3,14))</f>
        <v>43538</v>
      </c>
      <c r="V34" s="11">
        <v>43559</v>
      </c>
      <c r="W34" s="12">
        <v>43560</v>
      </c>
      <c r="X34" s="11">
        <v>43579</v>
      </c>
      <c r="Y34" s="12">
        <v>43557</v>
      </c>
      <c r="Z34" s="11">
        <f>IF(AG1,DATE(2019,1,1),DATE(2019,3,26))</f>
        <v>43550</v>
      </c>
      <c r="AA34" s="12">
        <v>43557</v>
      </c>
      <c r="AB34" s="11">
        <v>43572</v>
      </c>
      <c r="AC34" s="12">
        <v>43575</v>
      </c>
      <c r="AD34" s="34"/>
      <c r="AE34" s="33">
        <f t="shared" si="2"/>
        <v>43527</v>
      </c>
      <c r="AF34" s="33">
        <f t="shared" si="3"/>
        <v>43562</v>
      </c>
      <c r="AG34" s="33">
        <f t="shared" si="4"/>
        <v>43579</v>
      </c>
      <c r="AH34">
        <v>34</v>
      </c>
      <c r="AK34" s="36" t="str">
        <f t="shared" si="5"/>
        <v/>
      </c>
      <c r="AL34" t="str">
        <f t="shared" si="10"/>
        <v/>
      </c>
      <c r="AM34">
        <v>10</v>
      </c>
      <c r="AN34">
        <f t="shared" si="6"/>
        <v>52</v>
      </c>
      <c r="AO34" t="str">
        <f t="shared" si="7"/>
        <v>3.3.---7.4.---24.4.</v>
      </c>
      <c r="AP34" t="str">
        <f t="shared" si="8"/>
        <v>Tukkasotka</v>
      </c>
      <c r="AQ34" t="str">
        <f t="shared" si="11"/>
        <v>(3.3.---7.4.---24.4., 10/21)</v>
      </c>
    </row>
    <row r="35" spans="1:43" x14ac:dyDescent="0.2">
      <c r="A35" s="1"/>
      <c r="B35" s="9">
        <f t="shared" si="9"/>
        <v>32</v>
      </c>
      <c r="C35" s="10"/>
      <c r="D35" s="9" t="s">
        <v>31</v>
      </c>
      <c r="E35" s="10"/>
      <c r="F35" s="11">
        <v>43590</v>
      </c>
      <c r="G35" s="12">
        <f>IF(AG1,DATE(2019,1,5),DATE(2019,5,5))</f>
        <v>43590</v>
      </c>
      <c r="H35" s="11">
        <v>43582</v>
      </c>
      <c r="I35" s="12">
        <v>43596</v>
      </c>
      <c r="J35" s="11">
        <v>43586</v>
      </c>
      <c r="K35" s="12">
        <v>43586</v>
      </c>
      <c r="L35" s="11">
        <v>43592</v>
      </c>
      <c r="M35" s="12">
        <v>43582</v>
      </c>
      <c r="N35" s="11">
        <v>43582</v>
      </c>
      <c r="O35" s="12">
        <v>43589</v>
      </c>
      <c r="P35" s="11">
        <v>43592</v>
      </c>
      <c r="Q35" s="12">
        <v>43592</v>
      </c>
      <c r="R35" s="11">
        <v>43583</v>
      </c>
      <c r="S35" s="12">
        <v>43586</v>
      </c>
      <c r="T35" s="11">
        <f>IF(AG1,DATE(2019,1,14),DATE(2019,4,25))</f>
        <v>43580</v>
      </c>
      <c r="U35" s="12">
        <v>43567</v>
      </c>
      <c r="V35" s="11">
        <v>43584</v>
      </c>
      <c r="W35" s="12">
        <v>43585</v>
      </c>
      <c r="X35" s="11">
        <v>43591</v>
      </c>
      <c r="Y35" s="12">
        <v>43592</v>
      </c>
      <c r="Z35" s="11">
        <f>IF(AG1,DATE(2019,1,5),DATE(2019,4,22))</f>
        <v>43577</v>
      </c>
      <c r="AA35" s="12">
        <v>43594</v>
      </c>
      <c r="AB35" s="11">
        <v>43592</v>
      </c>
      <c r="AC35" s="12">
        <v>43588</v>
      </c>
      <c r="AD35" s="34"/>
      <c r="AE35" s="33">
        <f t="shared" si="2"/>
        <v>43567</v>
      </c>
      <c r="AF35" s="33">
        <f t="shared" si="3"/>
        <v>43587</v>
      </c>
      <c r="AG35" s="33">
        <f t="shared" si="4"/>
        <v>43596</v>
      </c>
      <c r="AH35">
        <v>35</v>
      </c>
      <c r="AK35" s="36" t="str">
        <f t="shared" si="5"/>
        <v/>
      </c>
      <c r="AL35" t="str">
        <f t="shared" si="10"/>
        <v/>
      </c>
      <c r="AM35">
        <v>3</v>
      </c>
      <c r="AN35">
        <f t="shared" si="6"/>
        <v>29</v>
      </c>
      <c r="AO35" t="str">
        <f t="shared" si="7"/>
        <v>12.4.---2.5.---11.5.</v>
      </c>
      <c r="AP35" t="str">
        <f t="shared" si="8"/>
        <v>Lapasotka</v>
      </c>
      <c r="AQ35" t="str">
        <f t="shared" si="11"/>
        <v>(12.4.---2.5.---11.5., 3/21)</v>
      </c>
    </row>
    <row r="36" spans="1:43" x14ac:dyDescent="0.2">
      <c r="A36" s="1"/>
      <c r="B36" s="9">
        <f t="shared" si="9"/>
        <v>33</v>
      </c>
      <c r="C36" s="10"/>
      <c r="D36" s="9" t="s">
        <v>32</v>
      </c>
      <c r="E36" s="10"/>
      <c r="F36" s="11">
        <v>43583</v>
      </c>
      <c r="G36" s="12">
        <v>43590</v>
      </c>
      <c r="H36" s="11">
        <v>43583</v>
      </c>
      <c r="I36" s="12">
        <v>43594</v>
      </c>
      <c r="J36" s="11">
        <v>43585</v>
      </c>
      <c r="K36" s="12">
        <v>43588</v>
      </c>
      <c r="L36" s="11">
        <v>43590</v>
      </c>
      <c r="M36" s="12">
        <v>43581</v>
      </c>
      <c r="N36" s="11">
        <v>43570</v>
      </c>
      <c r="O36" s="12">
        <v>43582</v>
      </c>
      <c r="P36" s="11">
        <v>43598</v>
      </c>
      <c r="Q36" s="12">
        <v>43592</v>
      </c>
      <c r="R36" s="11">
        <v>43583</v>
      </c>
      <c r="S36" s="12">
        <v>43586</v>
      </c>
      <c r="T36" s="11">
        <v>43568</v>
      </c>
      <c r="U36" s="12">
        <f>IF(AG1,DATE(2019,1,1),DATE(2019,4,11))</f>
        <v>43566</v>
      </c>
      <c r="V36" s="11">
        <v>43579</v>
      </c>
      <c r="W36" s="12">
        <v>43586</v>
      </c>
      <c r="X36" s="11">
        <v>43590</v>
      </c>
      <c r="Y36" s="12">
        <v>43586</v>
      </c>
      <c r="Z36" s="11">
        <v>43563</v>
      </c>
      <c r="AA36" s="12">
        <v>43587</v>
      </c>
      <c r="AB36" s="11">
        <v>43592</v>
      </c>
      <c r="AC36" s="12">
        <v>43590</v>
      </c>
      <c r="AD36" s="34"/>
      <c r="AE36" s="33">
        <f t="shared" si="2"/>
        <v>43563</v>
      </c>
      <c r="AF36" s="33">
        <f t="shared" si="3"/>
        <v>43586</v>
      </c>
      <c r="AG36" s="33">
        <f t="shared" si="4"/>
        <v>43598</v>
      </c>
      <c r="AH36">
        <v>37</v>
      </c>
      <c r="AK36" s="36" t="str">
        <f t="shared" si="5"/>
        <v/>
      </c>
      <c r="AL36" t="str">
        <f t="shared" si="10"/>
        <v/>
      </c>
      <c r="AM36">
        <v>1</v>
      </c>
      <c r="AN36">
        <f t="shared" si="6"/>
        <v>35</v>
      </c>
      <c r="AO36" t="str">
        <f t="shared" si="7"/>
        <v>8.4.---1.5.---13.5.</v>
      </c>
      <c r="AP36" t="str">
        <f t="shared" si="8"/>
        <v>Haahka</v>
      </c>
      <c r="AQ36" t="str">
        <f t="shared" si="11"/>
        <v>(8.4.---1.5.---13.5., 1/21)</v>
      </c>
    </row>
    <row r="37" spans="1:43" x14ac:dyDescent="0.2">
      <c r="A37" s="1"/>
      <c r="B37" s="9">
        <f t="shared" ref="B37:B68" si="12">B36+1</f>
        <v>34</v>
      </c>
      <c r="C37" s="10"/>
      <c r="D37" s="13" t="s">
        <v>33</v>
      </c>
      <c r="E37" s="14"/>
      <c r="F37" s="11"/>
      <c r="G37" s="12"/>
      <c r="H37" s="11"/>
      <c r="I37" s="12"/>
      <c r="J37" s="11"/>
      <c r="K37" s="12"/>
      <c r="L37" s="11"/>
      <c r="M37" s="12">
        <v>43773</v>
      </c>
      <c r="N37" s="11"/>
      <c r="O37" s="12"/>
      <c r="P37" s="11">
        <v>43607</v>
      </c>
      <c r="Q37" s="12"/>
      <c r="R37" s="11"/>
      <c r="S37" s="12"/>
      <c r="T37" s="11"/>
      <c r="U37" s="12"/>
      <c r="V37" s="11"/>
      <c r="W37" s="12"/>
      <c r="X37" s="11">
        <v>43604</v>
      </c>
      <c r="Y37" s="12">
        <v>43591</v>
      </c>
      <c r="Z37" s="11">
        <v>43590</v>
      </c>
      <c r="AA37" s="12"/>
      <c r="AB37" s="11"/>
      <c r="AC37" s="12" t="s">
        <v>393</v>
      </c>
      <c r="AD37" s="34"/>
      <c r="AE37" s="33">
        <f t="shared" si="2"/>
        <v>43590</v>
      </c>
      <c r="AF37" s="33">
        <f t="shared" si="3"/>
        <v>43604</v>
      </c>
      <c r="AG37" s="33">
        <f t="shared" si="4"/>
        <v>43773</v>
      </c>
      <c r="AH37">
        <v>38</v>
      </c>
      <c r="AK37" s="36" t="str">
        <f t="shared" si="5"/>
        <v/>
      </c>
      <c r="AL37" t="str">
        <f t="shared" si="10"/>
        <v/>
      </c>
      <c r="AM37" t="s">
        <v>393</v>
      </c>
      <c r="AN37">
        <f t="shared" si="6"/>
        <v>183</v>
      </c>
      <c r="AO37" t="str">
        <f t="shared" si="7"/>
        <v>5.5.---19.5.---4.11.</v>
      </c>
      <c r="AP37" t="str">
        <f t="shared" si="8"/>
        <v>Kyhmyhaahka</v>
      </c>
      <c r="AQ37" t="str">
        <f t="shared" si="11"/>
        <v>(5.5.---19.5.---4.11.)</v>
      </c>
    </row>
    <row r="38" spans="1:43" x14ac:dyDescent="0.2">
      <c r="A38" s="1"/>
      <c r="B38" s="9">
        <f t="shared" si="12"/>
        <v>35</v>
      </c>
      <c r="C38" s="10"/>
      <c r="D38" s="9" t="s">
        <v>34</v>
      </c>
      <c r="E38" s="10"/>
      <c r="F38" s="11">
        <f>IF(AG1,DATE(2019,1,2),DATE(2019,6,20))</f>
        <v>43636</v>
      </c>
      <c r="G38" s="12">
        <f>IF(AG1,DATE(2019,1,3),DATE(2019,5,8))</f>
        <v>43593</v>
      </c>
      <c r="H38" s="11">
        <v>43589</v>
      </c>
      <c r="I38" s="12">
        <v>43602</v>
      </c>
      <c r="J38" s="11">
        <v>43598</v>
      </c>
      <c r="K38" s="12">
        <v>43596</v>
      </c>
      <c r="L38" s="11">
        <v>43594</v>
      </c>
      <c r="M38" s="12">
        <v>43592</v>
      </c>
      <c r="N38" s="11"/>
      <c r="O38" s="12">
        <v>43602</v>
      </c>
      <c r="P38" s="11">
        <v>43606</v>
      </c>
      <c r="Q38" s="12">
        <v>43602</v>
      </c>
      <c r="R38" s="11">
        <f>IF(AG1,DATE(2019,1,4),DATE(2019,4,30))</f>
        <v>43585</v>
      </c>
      <c r="S38" s="12">
        <v>43603</v>
      </c>
      <c r="T38" s="11">
        <v>43782</v>
      </c>
      <c r="U38" s="12">
        <f>IF(AG1,DATE(2019,1,26),DATE(2019,4,24))</f>
        <v>43579</v>
      </c>
      <c r="V38" s="11"/>
      <c r="W38" s="12">
        <v>43600</v>
      </c>
      <c r="X38" s="11">
        <f>IF(AG1,DATE(2019,1,4),DATE(2019,5,14))</f>
        <v>43599</v>
      </c>
      <c r="Y38" s="12">
        <v>43611</v>
      </c>
      <c r="Z38" s="11">
        <v>43586</v>
      </c>
      <c r="AA38" s="12">
        <v>43594</v>
      </c>
      <c r="AB38" s="11"/>
      <c r="AC38" s="12">
        <v>43652</v>
      </c>
      <c r="AD38" s="34"/>
      <c r="AE38" s="33">
        <f t="shared" si="2"/>
        <v>43579</v>
      </c>
      <c r="AF38" s="33">
        <f t="shared" si="3"/>
        <v>43599</v>
      </c>
      <c r="AG38" s="33">
        <f t="shared" si="4"/>
        <v>43782</v>
      </c>
      <c r="AH38">
        <v>39</v>
      </c>
      <c r="AK38" s="36" t="str">
        <f t="shared" si="5"/>
        <v/>
      </c>
      <c r="AL38" t="str">
        <f t="shared" si="10"/>
        <v/>
      </c>
      <c r="AM38">
        <v>5</v>
      </c>
      <c r="AN38">
        <f t="shared" si="6"/>
        <v>203</v>
      </c>
      <c r="AO38" t="str">
        <f t="shared" si="7"/>
        <v>24.4.---14.5.---13.11.</v>
      </c>
      <c r="AP38" t="str">
        <f t="shared" si="8"/>
        <v>Allihaahka</v>
      </c>
      <c r="AQ38" t="str">
        <f t="shared" si="11"/>
        <v>(24.4.---14.5.---13.11., 5/21)</v>
      </c>
    </row>
    <row r="39" spans="1:43" x14ac:dyDescent="0.2">
      <c r="A39" s="1"/>
      <c r="B39" s="9">
        <f t="shared" si="12"/>
        <v>36</v>
      </c>
      <c r="C39" s="10"/>
      <c r="D39" s="9" t="s">
        <v>35</v>
      </c>
      <c r="E39" s="10"/>
      <c r="F39" s="11">
        <f>IF(AG1,DATE(2019,1,13),DATE(2019,5,12))</f>
        <v>43597</v>
      </c>
      <c r="G39" s="12">
        <f>IF(AG1,DATE(2019,1,2),DATE(2019,5,8))</f>
        <v>43593</v>
      </c>
      <c r="H39" s="11">
        <v>43589</v>
      </c>
      <c r="I39" s="12">
        <v>43592</v>
      </c>
      <c r="J39" s="11">
        <f>IF(AG1,DATE(2019,1,5),DATE(2019,5,2))</f>
        <v>43587</v>
      </c>
      <c r="K39" s="12">
        <f>IF(AG1,DATE(2019,1,2),DATE(2019,5,3))</f>
        <v>43588</v>
      </c>
      <c r="L39" s="11">
        <f>IF(AG1,DATE(2019,1,1),DATE(2019,5,8))</f>
        <v>43593</v>
      </c>
      <c r="M39" s="12">
        <f>IF(AG1,DATE(2019,1,1),DATE(2019,5,13))</f>
        <v>43598</v>
      </c>
      <c r="N39" s="11">
        <f>IF(AG1,DATE(2019,1,10),DATE(2019,4,25))</f>
        <v>43580</v>
      </c>
      <c r="O39" s="12">
        <f>IF(AG1,DATE(2019,1,1),DATE(2019,5,2))</f>
        <v>43587</v>
      </c>
      <c r="P39" s="11">
        <f>IF(AG1,DATE(2019,3,1),DATE(2019,5,8))</f>
        <v>43593</v>
      </c>
      <c r="Q39" s="12">
        <v>43589</v>
      </c>
      <c r="R39" s="11">
        <f>IF(AG1,DATE(2019,1,1),DATE(2019,5,5))</f>
        <v>43590</v>
      </c>
      <c r="S39" s="12">
        <v>43586</v>
      </c>
      <c r="T39" s="11">
        <f>IF(AG1,DATE(2019,1,1),DATE(2019,4,18))</f>
        <v>43573</v>
      </c>
      <c r="U39" s="12">
        <v>43579</v>
      </c>
      <c r="V39" s="11">
        <f>IF(AG1,DATE(2019,1,4),DATE(2019,5,4))</f>
        <v>43589</v>
      </c>
      <c r="W39" s="12">
        <f>IF(AG1,DATE(2019,1,1),DATE(2019,5,13))</f>
        <v>43598</v>
      </c>
      <c r="X39" s="11">
        <f>IF(AG1,DATE(2019,1,1),DATE(2019,5,5))</f>
        <v>43590</v>
      </c>
      <c r="Y39" s="12">
        <f>IF(AG1,DATE(2019,1,2),DATE(2019,5,5))</f>
        <v>43590</v>
      </c>
      <c r="Z39" s="11">
        <f>IF(AG1,DATE(2019,1,2),DATE(2019,3,19))</f>
        <v>43543</v>
      </c>
      <c r="AA39" s="12">
        <f>IF(AG1,DATE(2019,1,1),DATE(2019,5,9))</f>
        <v>43594</v>
      </c>
      <c r="AB39" s="11">
        <v>43599</v>
      </c>
      <c r="AC39" s="12">
        <f>IF(AG1,DATE(2019,1,3),DATE(2019,4,22))</f>
        <v>43577</v>
      </c>
      <c r="AD39" s="34"/>
      <c r="AE39" s="33">
        <f t="shared" si="2"/>
        <v>43543</v>
      </c>
      <c r="AF39" s="33">
        <f t="shared" si="3"/>
        <v>43589.5</v>
      </c>
      <c r="AG39" s="33">
        <f t="shared" si="4"/>
        <v>43599</v>
      </c>
      <c r="AH39">
        <v>41</v>
      </c>
      <c r="AK39" s="36" t="str">
        <f t="shared" si="5"/>
        <v/>
      </c>
      <c r="AL39" t="str">
        <f t="shared" si="10"/>
        <v/>
      </c>
      <c r="AM39">
        <v>15</v>
      </c>
      <c r="AN39">
        <f t="shared" si="6"/>
        <v>56</v>
      </c>
      <c r="AO39" t="str">
        <f t="shared" si="7"/>
        <v>19.3.---4.5.---14.5.</v>
      </c>
      <c r="AP39" t="str">
        <f t="shared" si="8"/>
        <v>Alli</v>
      </c>
      <c r="AQ39" t="str">
        <f t="shared" si="11"/>
        <v>(19.3.---4.5.---14.5., 15/21)</v>
      </c>
    </row>
    <row r="40" spans="1:43" x14ac:dyDescent="0.2">
      <c r="A40" s="1"/>
      <c r="B40" s="9">
        <f t="shared" si="12"/>
        <v>37</v>
      </c>
      <c r="C40" s="10"/>
      <c r="D40" s="9" t="s">
        <v>36</v>
      </c>
      <c r="E40" s="10"/>
      <c r="F40" s="11">
        <f>IF(AG1,DATE(2019,1,1),DATE(2019,4,26))</f>
        <v>43581</v>
      </c>
      <c r="G40" s="12">
        <f>IF(AG1,DATE(2019,1,1),DATE(2019,4,29))</f>
        <v>43584</v>
      </c>
      <c r="H40" s="11">
        <v>43578</v>
      </c>
      <c r="I40" s="12">
        <v>43586</v>
      </c>
      <c r="J40" s="11">
        <f>IF(AG1,DATE(2019,1,9),DATE(2019,4,22))</f>
        <v>43577</v>
      </c>
      <c r="K40" s="12">
        <f>IF(AG1,DATE(2019,1,1),DATE(2019,4,25))</f>
        <v>43580</v>
      </c>
      <c r="L40" s="11">
        <f>IF(AG1,DATE(2019,1,1),DATE(2019,4,17))</f>
        <v>43572</v>
      </c>
      <c r="M40" s="12">
        <f>IF(AG1,DATE(2019,1,1),DATE(2019,4,16))</f>
        <v>43571</v>
      </c>
      <c r="N40" s="11">
        <f>IF(AG1,DATE(2019,1,2),DATE(2019,4,17))</f>
        <v>43572</v>
      </c>
      <c r="O40" s="12">
        <f>IF(AG1,DATE(2019,1,1),DATE(2019,4,26))</f>
        <v>43581</v>
      </c>
      <c r="P40" s="11">
        <v>43576</v>
      </c>
      <c r="Q40" s="12">
        <v>43559</v>
      </c>
      <c r="R40" s="11">
        <f>IF(AG1,DATE(2019,1,1),DATE(2019,4,22))</f>
        <v>43577</v>
      </c>
      <c r="S40" s="12">
        <f>IF(AG1,DATE(2019,1,3),DATE(2019,4,25))</f>
        <v>43580</v>
      </c>
      <c r="T40" s="11">
        <f>IF(AG1,DATE(2019,1,1),DATE(2019,4,11))</f>
        <v>43566</v>
      </c>
      <c r="U40" s="12">
        <f>IF(AG1,DATE(2019,1,2),DATE(2019,4,10))</f>
        <v>43565</v>
      </c>
      <c r="V40" s="11">
        <f>IF(AG1,DATE(2019,1,2),DATE(2019,4,5))</f>
        <v>43560</v>
      </c>
      <c r="W40" s="12">
        <f>IF(AG1,DATE(2019,1,1),DATE(2019,4,22))</f>
        <v>43577</v>
      </c>
      <c r="X40" s="11">
        <f>IF(AG1,DATE(2019,1,1),DATE(2019,4,23))</f>
        <v>43578</v>
      </c>
      <c r="Y40" s="12">
        <f>IF(AG1,DATE(2019,1,2),DATE(2019,4,22))</f>
        <v>43577</v>
      </c>
      <c r="Z40" s="11">
        <f>IF(AG1,DATE(2019,1,1),DATE(2019,4,8))</f>
        <v>43563</v>
      </c>
      <c r="AA40" s="12">
        <f>IF(AG1,DATE(2019,1,1),DATE(2019,4,1))</f>
        <v>43556</v>
      </c>
      <c r="AB40" s="11">
        <v>43585</v>
      </c>
      <c r="AC40" s="12">
        <f>IF(AG1,DATE(2019,1,1),DATE(2019,4,24))</f>
        <v>43579</v>
      </c>
      <c r="AD40" s="34"/>
      <c r="AE40" s="33">
        <f t="shared" si="2"/>
        <v>43556</v>
      </c>
      <c r="AF40" s="33">
        <f t="shared" si="3"/>
        <v>43577</v>
      </c>
      <c r="AG40" s="33">
        <f t="shared" si="4"/>
        <v>43586</v>
      </c>
      <c r="AH40">
        <v>42</v>
      </c>
      <c r="AK40" s="36" t="str">
        <f t="shared" si="5"/>
        <v/>
      </c>
      <c r="AL40" t="str">
        <f t="shared" si="10"/>
        <v/>
      </c>
      <c r="AM40">
        <v>17</v>
      </c>
      <c r="AN40">
        <f t="shared" si="6"/>
        <v>30</v>
      </c>
      <c r="AO40" t="str">
        <f t="shared" si="7"/>
        <v>1.4.---22.4.---1.5.</v>
      </c>
      <c r="AP40" t="str">
        <f t="shared" si="8"/>
        <v>Mustalintu</v>
      </c>
      <c r="AQ40" t="str">
        <f t="shared" si="11"/>
        <v>(1.4.---22.4.---1.5., 17/21)</v>
      </c>
    </row>
    <row r="41" spans="1:43" x14ac:dyDescent="0.2">
      <c r="A41" s="1"/>
      <c r="B41" s="9">
        <f t="shared" si="12"/>
        <v>38</v>
      </c>
      <c r="C41" s="10"/>
      <c r="D41" s="15" t="s">
        <v>37</v>
      </c>
      <c r="E41" s="16"/>
      <c r="F41" s="11"/>
      <c r="G41" s="12"/>
      <c r="H41" s="11"/>
      <c r="I41" s="12"/>
      <c r="J41" s="11">
        <v>43751</v>
      </c>
      <c r="K41" s="12"/>
      <c r="L41" s="11">
        <v>43594</v>
      </c>
      <c r="M41" s="12"/>
      <c r="N41" s="11"/>
      <c r="O41" s="12"/>
      <c r="P41" s="11"/>
      <c r="Q41" s="12"/>
      <c r="R41" s="11"/>
      <c r="S41" s="12"/>
      <c r="T41" s="11"/>
      <c r="U41" s="12"/>
      <c r="V41" s="11"/>
      <c r="W41" s="12"/>
      <c r="X41" s="11"/>
      <c r="Y41" s="12"/>
      <c r="Z41" s="11">
        <v>43608</v>
      </c>
      <c r="AA41" s="12"/>
      <c r="AB41" s="11"/>
      <c r="AC41" s="12" t="s">
        <v>393</v>
      </c>
      <c r="AD41" s="34"/>
      <c r="AE41" s="33">
        <f t="shared" si="2"/>
        <v>43594</v>
      </c>
      <c r="AF41" s="33">
        <f t="shared" si="3"/>
        <v>43608</v>
      </c>
      <c r="AG41" s="33">
        <f t="shared" si="4"/>
        <v>43751</v>
      </c>
      <c r="AH41">
        <v>44</v>
      </c>
      <c r="AK41" s="36" t="str">
        <f t="shared" si="5"/>
        <v/>
      </c>
      <c r="AL41" t="str">
        <f t="shared" si="10"/>
        <v/>
      </c>
      <c r="AM41" t="s">
        <v>393</v>
      </c>
      <c r="AN41">
        <f t="shared" si="6"/>
        <v>157</v>
      </c>
      <c r="AO41" t="str">
        <f t="shared" si="7"/>
        <v>9.5.---23.5.---13.10.</v>
      </c>
      <c r="AP41" t="str">
        <f t="shared" si="8"/>
        <v>Pilkkaniska</v>
      </c>
      <c r="AQ41" t="str">
        <f t="shared" si="11"/>
        <v>(9.5.---23.5.---13.10.)</v>
      </c>
    </row>
    <row r="42" spans="1:43" x14ac:dyDescent="0.2">
      <c r="A42" s="1"/>
      <c r="B42" s="9">
        <f t="shared" si="12"/>
        <v>39</v>
      </c>
      <c r="C42" s="10"/>
      <c r="D42" s="9" t="s">
        <v>38</v>
      </c>
      <c r="E42" s="10"/>
      <c r="F42" s="11">
        <f>IF(AG1,DATE(2019,1,2),DATE(2019,5,2))</f>
        <v>43587</v>
      </c>
      <c r="G42" s="12">
        <f>IF(AG1,DATE(2019,1,1),DATE(2019,4,29))</f>
        <v>43584</v>
      </c>
      <c r="H42" s="11">
        <f>IF(AG1,DATE(2019,1,1),DATE(2019,4,27))</f>
        <v>43582</v>
      </c>
      <c r="I42" s="12">
        <v>43588</v>
      </c>
      <c r="J42" s="11">
        <f>IF(AG1,DATE(2019,1,10),DATE(2019,4,26))</f>
        <v>43581</v>
      </c>
      <c r="K42" s="12">
        <f>IF(AG1,DATE(2019,1,1),DATE(2019,4,26))</f>
        <v>43581</v>
      </c>
      <c r="L42" s="11">
        <f>IF(AG1,DATE(2019,1,1),DATE(2019,4,22))</f>
        <v>43577</v>
      </c>
      <c r="M42" s="12">
        <f>IF(AG1,DATE(2019,1,1),DATE(2019,4,26))</f>
        <v>43581</v>
      </c>
      <c r="N42" s="11">
        <f>IF(AG1,DATE(2019,1,7),DATE(2019,4,20))</f>
        <v>43575</v>
      </c>
      <c r="O42" s="12">
        <f>IF(AG1,DATE(2019,1,1),DATE(2019,4,27))</f>
        <v>43582</v>
      </c>
      <c r="P42" s="11">
        <f>IF(AG1,DATE(2019,1,16),DATE(2019,5,3))</f>
        <v>43588</v>
      </c>
      <c r="Q42" s="12">
        <f>IF(AG1,DATE(2019,1,8),DATE(2019,5,1))</f>
        <v>43586</v>
      </c>
      <c r="R42" s="11">
        <f>IF(AG1,DATE(2019,1,1),DATE(2019,4,19))</f>
        <v>43574</v>
      </c>
      <c r="S42" s="12">
        <f>IF(AG1,DATE(2019,1,1),DATE(2019,5,1))</f>
        <v>43586</v>
      </c>
      <c r="T42" s="11">
        <f>IF(AG1,DATE(2019,1,1),DATE(2019,4,3))</f>
        <v>43558</v>
      </c>
      <c r="U42" s="12">
        <f>IF(AG1,DATE(2019,1,8),DATE(2019,4,12))</f>
        <v>43567</v>
      </c>
      <c r="V42" s="11">
        <f>IF(AG1,DATE(2019,1,1),DATE(2019,4,12))</f>
        <v>43567</v>
      </c>
      <c r="W42" s="12">
        <f>IF(AG1,DATE(2019,1,1),DATE(2019,4,24))</f>
        <v>43579</v>
      </c>
      <c r="X42" s="11">
        <f>IF(AG1,DATE(2019,1,1),DATE(2019,5,2))</f>
        <v>43587</v>
      </c>
      <c r="Y42" s="12">
        <f>IF(AG1,DATE(2019,1,1),DATE(2019,4,21))</f>
        <v>43576</v>
      </c>
      <c r="Z42" s="11">
        <f>IF(AG1,DATE(2019,1,1),DATE(2019,4,8))</f>
        <v>43563</v>
      </c>
      <c r="AA42" s="12">
        <f>IF(AG1,DATE(2019,1,1),DATE(2019,4,21))</f>
        <v>43576</v>
      </c>
      <c r="AB42" s="11">
        <v>43580</v>
      </c>
      <c r="AC42" s="12">
        <f>IF(AG1,DATE(2019,1,1),DATE(2019,5,2))</f>
        <v>43587</v>
      </c>
      <c r="AD42" s="34"/>
      <c r="AE42" s="33">
        <f t="shared" si="2"/>
        <v>43558</v>
      </c>
      <c r="AF42" s="33">
        <f t="shared" si="3"/>
        <v>43581</v>
      </c>
      <c r="AG42" s="33">
        <f t="shared" si="4"/>
        <v>43588</v>
      </c>
      <c r="AH42">
        <v>45</v>
      </c>
      <c r="AK42" s="36" t="str">
        <f t="shared" si="5"/>
        <v/>
      </c>
      <c r="AL42" t="str">
        <f t="shared" si="10"/>
        <v/>
      </c>
      <c r="AM42">
        <v>20</v>
      </c>
      <c r="AN42">
        <f t="shared" si="6"/>
        <v>30</v>
      </c>
      <c r="AO42" t="str">
        <f t="shared" si="7"/>
        <v>3.4.---26.4.---3.5.</v>
      </c>
      <c r="AP42" t="str">
        <f t="shared" si="8"/>
        <v>Pilkkasiipi</v>
      </c>
      <c r="AQ42" t="str">
        <f t="shared" si="11"/>
        <v>(3.4.---26.4.---3.5., 20/21)</v>
      </c>
    </row>
    <row r="43" spans="1:43" x14ac:dyDescent="0.2">
      <c r="A43" s="1"/>
      <c r="B43" s="9">
        <f t="shared" si="12"/>
        <v>40</v>
      </c>
      <c r="C43" s="10"/>
      <c r="D43" s="9" t="s">
        <v>39</v>
      </c>
      <c r="E43" s="10"/>
      <c r="F43" s="11">
        <f>IF(AG1,DATE(2019,1,1),DATE(2019,3,26))</f>
        <v>43550</v>
      </c>
      <c r="G43" s="12">
        <f>IF(AG1,DATE(2019,1,1),DATE(2019,3,30))</f>
        <v>43554</v>
      </c>
      <c r="H43" s="11">
        <f>IF(AG1,DATE(2019,1,1),DATE(2019,3,27))</f>
        <v>43551</v>
      </c>
      <c r="I43" s="12">
        <f>IF(AG1,DATE(2019,1,1),DATE(2019,3,14))</f>
        <v>43538</v>
      </c>
      <c r="J43" s="11">
        <f>IF(AG1,DATE(2019,1,1),DATE(2019,3,19))</f>
        <v>43543</v>
      </c>
      <c r="K43" s="12">
        <f>IF(AG1,DATE(2019,1,1),DATE(2019,3,31))</f>
        <v>43555</v>
      </c>
      <c r="L43" s="11">
        <f>IF(AG1,DATE(2019,1,1),DATE(2019,4,7))</f>
        <v>43562</v>
      </c>
      <c r="M43" s="12">
        <f>IF(AG1,DATE(2019,1,1),DATE(2019,3,17))</f>
        <v>43541</v>
      </c>
      <c r="N43" s="11">
        <f>IF(AG1,DATE(2019,1,1),DATE(2019,3,18))</f>
        <v>43542</v>
      </c>
      <c r="O43" s="12">
        <f>IF(AG1,DATE(2019,1,1),DATE(2019,3,7))</f>
        <v>43531</v>
      </c>
      <c r="P43" s="11">
        <f>IF(AG1,DATE(2019,1,1),DATE(2019,3,7))</f>
        <v>43531</v>
      </c>
      <c r="Q43" s="12">
        <f>IF(AG1,DATE(2019,1,3),DATE(2019,3,22))</f>
        <v>43546</v>
      </c>
      <c r="R43" s="11">
        <f>IF(AG1,DATE(2019,1,1),DATE(2019,3,19))</f>
        <v>43543</v>
      </c>
      <c r="S43" s="12">
        <f>IF(AG1,DATE(2019,2,15),DATE(2019,3,29))</f>
        <v>43553</v>
      </c>
      <c r="T43" s="11">
        <f>IF(AG1,DATE(2019,1,1),DATE(2019,3,9))</f>
        <v>43533</v>
      </c>
      <c r="U43" s="12">
        <f>IF(AG1,DATE(2019,1,1),DATE(2019,3,1))</f>
        <v>43525</v>
      </c>
      <c r="V43" s="11">
        <f>IF(AG1,DATE(2019,1,1),DATE(2019,3,6))</f>
        <v>43530</v>
      </c>
      <c r="W43" s="12">
        <f>IF(AG1,DATE(2019,1,1),DATE(2019,3,3))</f>
        <v>43527</v>
      </c>
      <c r="X43" s="11">
        <f>IF(AG1,DATE(2019,1,1),DATE(2019,3,30))</f>
        <v>43554</v>
      </c>
      <c r="Y43" s="12">
        <f>IF(AG1,DATE(2019,1,1),DATE(2019,3,14))</f>
        <v>43538</v>
      </c>
      <c r="Z43" s="11">
        <f>IF(AG1,DATE(2019,1,1),DATE(2019,2,24))</f>
        <v>43520</v>
      </c>
      <c r="AA43" s="12">
        <f>IF(AG1,DATE(2019,1,1),DATE(2019,3,24))</f>
        <v>43548</v>
      </c>
      <c r="AB43" s="11">
        <f>IF(AF1,DATE(2019,1,1),DATE(2019,3,16))</f>
        <v>43540</v>
      </c>
      <c r="AC43" s="12">
        <f>IF(AG1,DATE(2019,1,1),DATE(2019,3,22))</f>
        <v>43546</v>
      </c>
      <c r="AD43" s="34"/>
      <c r="AE43" s="33">
        <f t="shared" si="2"/>
        <v>43520</v>
      </c>
      <c r="AF43" s="33">
        <f t="shared" si="3"/>
        <v>43542.5</v>
      </c>
      <c r="AG43" s="33">
        <f t="shared" si="4"/>
        <v>43562</v>
      </c>
      <c r="AH43">
        <v>47</v>
      </c>
      <c r="AK43" s="36" t="str">
        <f t="shared" si="5"/>
        <v/>
      </c>
      <c r="AL43">
        <f t="shared" si="10"/>
        <v>1</v>
      </c>
      <c r="AM43">
        <v>21</v>
      </c>
      <c r="AN43">
        <f t="shared" si="6"/>
        <v>42</v>
      </c>
      <c r="AO43" t="str">
        <f t="shared" si="7"/>
        <v>24.2.---18.3.---7.4.</v>
      </c>
      <c r="AP43" t="str">
        <f t="shared" si="8"/>
        <v>Telkkä</v>
      </c>
      <c r="AQ43" t="str">
        <f t="shared" si="11"/>
        <v>(24.2.---18.3.---7.4., 21/21)</v>
      </c>
    </row>
    <row r="44" spans="1:43" x14ac:dyDescent="0.2">
      <c r="A44" s="1"/>
      <c r="B44" s="9">
        <f t="shared" si="12"/>
        <v>41</v>
      </c>
      <c r="C44" s="10"/>
      <c r="D44" s="9" t="s">
        <v>40</v>
      </c>
      <c r="E44" s="10"/>
      <c r="F44" s="11">
        <v>43569</v>
      </c>
      <c r="G44" s="12">
        <f>IF(AG1,DATE(2019,1,3),DATE(2019,4,22))</f>
        <v>43577</v>
      </c>
      <c r="H44" s="11">
        <f>IF(AG1,DATE(2019,1,11),DATE(2019,4,5))</f>
        <v>43560</v>
      </c>
      <c r="I44" s="12">
        <v>43529</v>
      </c>
      <c r="J44" s="11">
        <v>43565</v>
      </c>
      <c r="K44" s="12">
        <f>IF(AG1,DATE(2019,1,2),DATE(2019,4,6))</f>
        <v>43561</v>
      </c>
      <c r="L44" s="11">
        <f>IF(AG1,DATE(2019,1,3),DATE(2019,4,13))</f>
        <v>43568</v>
      </c>
      <c r="M44" s="12">
        <f>IF(AG1,DATE(2019,1,1),DATE(2019,4,10))</f>
        <v>43565</v>
      </c>
      <c r="N44" s="11">
        <f>IF(AG1,DATE(2019,1,5),DATE(2019,4,6))</f>
        <v>43561</v>
      </c>
      <c r="O44" s="12">
        <v>43577</v>
      </c>
      <c r="P44" s="11">
        <v>43571</v>
      </c>
      <c r="Q44" s="12">
        <v>43529</v>
      </c>
      <c r="R44" s="11">
        <f>IF(AG1,DATE(2019,1,1),DATE(2019,4,7))</f>
        <v>43562</v>
      </c>
      <c r="S44" s="12">
        <v>43573</v>
      </c>
      <c r="T44" s="11">
        <f>IF(AG1,DATE(2019,1,3),DATE(2019,3,10))</f>
        <v>43534</v>
      </c>
      <c r="U44" s="12">
        <v>43553</v>
      </c>
      <c r="V44" s="11">
        <f>IF(AG1,DATE(2019,1,2),DATE(2019,3,30))</f>
        <v>43554</v>
      </c>
      <c r="W44" s="12">
        <v>43560</v>
      </c>
      <c r="X44" s="11">
        <f>IF(AG1,DATE(2019,1,4),DATE(2019,4,20))</f>
        <v>43575</v>
      </c>
      <c r="Y44" s="12">
        <f>IF(AG1,DATE(2019,1,23),DATE(2019,4,13))</f>
        <v>43568</v>
      </c>
      <c r="Z44" s="11">
        <f>IF(AG1,DATE(2019,1,19),DATE(2019,3,27))</f>
        <v>43551</v>
      </c>
      <c r="AA44" s="12">
        <f>IF(AG1,DATE(2019,1,4),DATE(2019,4,10))</f>
        <v>43565</v>
      </c>
      <c r="AB44" s="11">
        <v>43572</v>
      </c>
      <c r="AC44" s="12">
        <v>43571</v>
      </c>
      <c r="AD44" s="34"/>
      <c r="AE44" s="33">
        <f t="shared" si="2"/>
        <v>43529</v>
      </c>
      <c r="AF44" s="33">
        <f t="shared" si="3"/>
        <v>43565</v>
      </c>
      <c r="AG44" s="33">
        <f t="shared" si="4"/>
        <v>43577</v>
      </c>
      <c r="AH44">
        <v>48</v>
      </c>
      <c r="AK44" s="36" t="str">
        <f t="shared" si="5"/>
        <v/>
      </c>
      <c r="AL44" t="str">
        <f t="shared" si="10"/>
        <v/>
      </c>
      <c r="AM44">
        <v>12</v>
      </c>
      <c r="AN44">
        <f t="shared" si="6"/>
        <v>48</v>
      </c>
      <c r="AO44" t="str">
        <f t="shared" si="7"/>
        <v>5.3.---10.4.---22.4.</v>
      </c>
      <c r="AP44" t="str">
        <f t="shared" si="8"/>
        <v>Uivelo</v>
      </c>
      <c r="AQ44" t="str">
        <f t="shared" si="11"/>
        <v>(5.3.---10.4.---22.4., 12/21)</v>
      </c>
    </row>
    <row r="45" spans="1:43" x14ac:dyDescent="0.2">
      <c r="A45" s="1"/>
      <c r="B45" s="9">
        <f t="shared" si="12"/>
        <v>42</v>
      </c>
      <c r="C45" s="10"/>
      <c r="D45" s="9" t="s">
        <v>41</v>
      </c>
      <c r="E45" s="10"/>
      <c r="F45" s="11">
        <v>43581</v>
      </c>
      <c r="G45" s="12">
        <f>IF(AG1,DATE(2019,1,1),DATE(2019,4,22))</f>
        <v>43577</v>
      </c>
      <c r="H45" s="11">
        <v>43569</v>
      </c>
      <c r="I45" s="12">
        <v>43580</v>
      </c>
      <c r="J45" s="11">
        <f>IF(AG1,DATE(2019,1,9),DATE(2019,4,17))</f>
        <v>43572</v>
      </c>
      <c r="K45" s="12">
        <v>43569</v>
      </c>
      <c r="L45" s="11">
        <v>43471</v>
      </c>
      <c r="M45" s="12">
        <f>IF(AG1,DATE(2019,1,1),DATE(2019,4,8))</f>
        <v>43563</v>
      </c>
      <c r="N45" s="11">
        <f>IF(AG1,DATE(2019,1,1),DATE(2019,4,1))</f>
        <v>43556</v>
      </c>
      <c r="O45" s="12">
        <v>43567</v>
      </c>
      <c r="P45" s="11">
        <v>43580</v>
      </c>
      <c r="Q45" s="12">
        <v>43580</v>
      </c>
      <c r="R45" s="11">
        <f>IF(AG1,DATE(2019,1,1),DATE(2019,4,12))</f>
        <v>43567</v>
      </c>
      <c r="S45" s="12">
        <v>43577</v>
      </c>
      <c r="T45" s="11">
        <f>IF(AG1,DATE(2019,1,3),DATE(2019,4,13))</f>
        <v>43568</v>
      </c>
      <c r="U45" s="12">
        <f>IF(AG1,DATE(2019,2,8),DATE(2019,3,14))</f>
        <v>43538</v>
      </c>
      <c r="V45" s="11">
        <v>43564</v>
      </c>
      <c r="W45" s="12">
        <v>43565</v>
      </c>
      <c r="X45" s="11">
        <f>IF(AG1,DATE(2019,1,1),DATE(2019,4,24))</f>
        <v>43579</v>
      </c>
      <c r="Y45" s="12">
        <f>IF(AG1,DATE(2019,1,1),DATE(2019,4,21))</f>
        <v>43576</v>
      </c>
      <c r="Z45" s="11">
        <v>43562</v>
      </c>
      <c r="AA45" s="12">
        <f>IF(AG1,DATE(2019,1,2),DATE(2019,4,17))</f>
        <v>43572</v>
      </c>
      <c r="AB45" s="11">
        <v>43570</v>
      </c>
      <c r="AC45" s="12">
        <v>43571</v>
      </c>
      <c r="AD45" s="34"/>
      <c r="AE45" s="33">
        <f t="shared" si="2"/>
        <v>43471</v>
      </c>
      <c r="AF45" s="33">
        <f t="shared" si="3"/>
        <v>43569.5</v>
      </c>
      <c r="AG45" s="33">
        <f t="shared" si="4"/>
        <v>43581</v>
      </c>
      <c r="AH45">
        <v>49</v>
      </c>
      <c r="AK45" s="36" t="str">
        <f t="shared" si="5"/>
        <v/>
      </c>
      <c r="AL45">
        <f t="shared" si="10"/>
        <v>1</v>
      </c>
      <c r="AM45">
        <v>10</v>
      </c>
      <c r="AN45">
        <f t="shared" si="6"/>
        <v>110</v>
      </c>
      <c r="AO45" t="str">
        <f t="shared" si="7"/>
        <v>6.1.---14.4.---26.4.</v>
      </c>
      <c r="AP45" t="str">
        <f t="shared" si="8"/>
        <v>Tukkakoskelo</v>
      </c>
      <c r="AQ45" t="str">
        <f t="shared" si="11"/>
        <v>(6.1.---14.4.---26.4., 10/21)</v>
      </c>
    </row>
    <row r="46" spans="1:43" x14ac:dyDescent="0.2">
      <c r="A46" s="1"/>
      <c r="B46" s="9">
        <f t="shared" si="12"/>
        <v>43</v>
      </c>
      <c r="C46" s="10"/>
      <c r="D46" s="9" t="s">
        <v>42</v>
      </c>
      <c r="E46" s="10"/>
      <c r="F46" s="11">
        <f>IF(AG1,DATE(2019,1,1),DATE(2019,3,21))</f>
        <v>43545</v>
      </c>
      <c r="G46" s="12">
        <f>IF(AG1,DATE(2019,1,1),DATE(2019,3,24))</f>
        <v>43548</v>
      </c>
      <c r="H46" s="11">
        <f>IF(AG1,DATE(2019,1,3),DATE(2019,3,16))</f>
        <v>43540</v>
      </c>
      <c r="I46" s="12">
        <f>IF(AG1,DATE(2019,1,1),DATE(2019,3,3))</f>
        <v>43527</v>
      </c>
      <c r="J46" s="11">
        <f>IF(AG1,DATE(2019,1,2),DATE(2019,3,8))</f>
        <v>43532</v>
      </c>
      <c r="K46" s="12">
        <f>IF(AG1,DATE(2019,1,1),DATE(2019,3,6))</f>
        <v>43530</v>
      </c>
      <c r="L46" s="11">
        <f>IF(AG1,DATE(2019,1,1),DATE(2019,3,5))</f>
        <v>43529</v>
      </c>
      <c r="M46" s="12">
        <f>IF(AG1,DATE(2019,1,1),DATE(2019,3,22))</f>
        <v>43546</v>
      </c>
      <c r="N46" s="11">
        <f>IF(AG1,DATE(2019,1,2),DATE(2019,3,7))</f>
        <v>43531</v>
      </c>
      <c r="O46" s="12">
        <f>IF(AG1,DATE(2019,1,1),DATE(2019,3,14))</f>
        <v>43538</v>
      </c>
      <c r="P46" s="11">
        <f>IF(AG1,DATE(2019,1,1),DATE(2019,3,2))</f>
        <v>43526</v>
      </c>
      <c r="Q46" s="12">
        <f>IF(AG1,DATE(2019,1,1),DATE(2019,2,28))</f>
        <v>43524</v>
      </c>
      <c r="R46" s="11">
        <f>IF(AG1,DATE(2019,1,1),DATE(2019,3,1))</f>
        <v>43525</v>
      </c>
      <c r="S46" s="12">
        <f>IF(AG1,DATE(2019,1,1),DATE(2019,3,1))</f>
        <v>43525</v>
      </c>
      <c r="T46" s="11">
        <f>IF(AG1,DATE(2019,1,1),DATE(2019,2,28))</f>
        <v>43524</v>
      </c>
      <c r="U46" s="12">
        <f>IF(AG1,DATE(2019,1,1),DATE(2019,2,28))</f>
        <v>43524</v>
      </c>
      <c r="V46" s="11">
        <f>IF(AG1,DATE(2019,1,1),DATE(2019,3,11))</f>
        <v>43535</v>
      </c>
      <c r="W46" s="12">
        <f>IF(AG1,DATE(2019,1,1),DATE(2019,3,12))</f>
        <v>43536</v>
      </c>
      <c r="X46" s="11">
        <f>IF(AG1,DATE(2019,1,1),DATE(2019,3,22))</f>
        <v>43546</v>
      </c>
      <c r="Y46" s="12">
        <f>IF(AG1,DATE(2019,1,1),DATE(2019,3,1))</f>
        <v>43525</v>
      </c>
      <c r="Z46" s="11">
        <f>IF(AG1,DATE(2019,1,1),DATE(2019,3,8))</f>
        <v>43532</v>
      </c>
      <c r="AA46" s="12">
        <f>IF(AG1,DATE(2019,1,1),DATE(2019,3,24))</f>
        <v>43548</v>
      </c>
      <c r="AB46" s="11">
        <v>43540</v>
      </c>
      <c r="AC46" s="12">
        <f>IF(AG1,DATE(2019,1,2),DATE(2019,3,6))</f>
        <v>43530</v>
      </c>
      <c r="AD46" s="34"/>
      <c r="AE46" s="33">
        <f t="shared" si="2"/>
        <v>43524</v>
      </c>
      <c r="AF46" s="33">
        <f t="shared" si="3"/>
        <v>43531.5</v>
      </c>
      <c r="AG46" s="33">
        <f t="shared" si="4"/>
        <v>43548</v>
      </c>
      <c r="AH46">
        <v>50</v>
      </c>
      <c r="AK46" s="36" t="str">
        <f t="shared" si="5"/>
        <v/>
      </c>
      <c r="AL46">
        <f t="shared" si="10"/>
        <v>3</v>
      </c>
      <c r="AM46">
        <v>21</v>
      </c>
      <c r="AN46">
        <f t="shared" si="6"/>
        <v>24</v>
      </c>
      <c r="AO46" t="str">
        <f t="shared" si="7"/>
        <v>28.2.---7.3.---24.3.</v>
      </c>
      <c r="AP46" t="str">
        <f t="shared" si="8"/>
        <v>Isokoskelo</v>
      </c>
      <c r="AQ46" t="str">
        <f t="shared" si="11"/>
        <v>(28.2.---7.3.---24.3., 21/21)</v>
      </c>
    </row>
    <row r="47" spans="1:43" x14ac:dyDescent="0.2">
      <c r="A47" s="1"/>
      <c r="B47" s="9">
        <f t="shared" si="12"/>
        <v>44</v>
      </c>
      <c r="C47" s="10"/>
      <c r="D47" s="15" t="s">
        <v>43</v>
      </c>
      <c r="E47" s="16"/>
      <c r="F47" s="11"/>
      <c r="G47" s="12"/>
      <c r="H47" s="11"/>
      <c r="I47" s="12">
        <v>43574</v>
      </c>
      <c r="J47" s="11">
        <v>43613</v>
      </c>
      <c r="K47" s="12"/>
      <c r="L47" s="11"/>
      <c r="M47" s="12"/>
      <c r="N47" s="11"/>
      <c r="O47" s="12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  <c r="AA47" s="12"/>
      <c r="AB47" s="11"/>
      <c r="AC47" s="12" t="s">
        <v>393</v>
      </c>
      <c r="AD47" s="34"/>
      <c r="AE47" s="33">
        <f t="shared" si="2"/>
        <v>43574</v>
      </c>
      <c r="AF47" s="33">
        <f t="shared" si="3"/>
        <v>43593.5</v>
      </c>
      <c r="AG47" s="33">
        <f t="shared" si="4"/>
        <v>43613</v>
      </c>
      <c r="AH47">
        <v>51</v>
      </c>
      <c r="AK47" s="36" t="str">
        <f t="shared" si="5"/>
        <v/>
      </c>
      <c r="AL47" t="str">
        <f t="shared" si="10"/>
        <v/>
      </c>
      <c r="AM47" t="s">
        <v>393</v>
      </c>
      <c r="AN47">
        <f t="shared" si="6"/>
        <v>39</v>
      </c>
      <c r="AO47" t="str">
        <f t="shared" si="7"/>
        <v>19.4.---8.5.---28.5.</v>
      </c>
      <c r="AP47" t="str">
        <f t="shared" si="8"/>
        <v>Kuparisorsa</v>
      </c>
      <c r="AQ47" t="str">
        <f t="shared" si="11"/>
        <v>(19.4.---8.5.---28.5.)</v>
      </c>
    </row>
    <row r="48" spans="1:43" x14ac:dyDescent="0.2">
      <c r="A48" s="1"/>
      <c r="B48" s="9">
        <f t="shared" si="12"/>
        <v>45</v>
      </c>
      <c r="C48" s="10"/>
      <c r="D48" s="9" t="s">
        <v>44</v>
      </c>
      <c r="E48" s="10"/>
      <c r="F48" s="11"/>
      <c r="G48" s="12"/>
      <c r="H48" s="11">
        <v>43620</v>
      </c>
      <c r="I48" s="12">
        <v>43607</v>
      </c>
      <c r="J48" s="11">
        <v>43614</v>
      </c>
      <c r="K48" s="12">
        <v>43609</v>
      </c>
      <c r="L48" s="11">
        <v>43597</v>
      </c>
      <c r="M48" s="12">
        <v>43618</v>
      </c>
      <c r="N48" s="11">
        <v>43647</v>
      </c>
      <c r="O48" s="12">
        <v>43623</v>
      </c>
      <c r="P48" s="11">
        <v>43614</v>
      </c>
      <c r="Q48" s="12">
        <v>43601</v>
      </c>
      <c r="R48" s="11"/>
      <c r="S48" s="12">
        <v>43625</v>
      </c>
      <c r="T48" s="11">
        <v>43622</v>
      </c>
      <c r="U48" s="12">
        <v>43606</v>
      </c>
      <c r="V48" s="11">
        <v>43614</v>
      </c>
      <c r="W48" s="12"/>
      <c r="X48" s="11">
        <v>43649</v>
      </c>
      <c r="Y48" s="12">
        <v>43611</v>
      </c>
      <c r="Z48" s="11">
        <v>43627</v>
      </c>
      <c r="AA48" s="12">
        <v>43602</v>
      </c>
      <c r="AB48" s="11">
        <v>43608</v>
      </c>
      <c r="AC48" s="12" t="s">
        <v>393</v>
      </c>
      <c r="AD48" s="34"/>
      <c r="AE48" s="33">
        <f t="shared" si="2"/>
        <v>43597</v>
      </c>
      <c r="AF48" s="33">
        <f t="shared" si="3"/>
        <v>43614</v>
      </c>
      <c r="AG48" s="33">
        <f t="shared" si="4"/>
        <v>43649</v>
      </c>
      <c r="AH48">
        <v>52</v>
      </c>
      <c r="AK48" s="36" t="str">
        <f t="shared" si="5"/>
        <v/>
      </c>
      <c r="AL48" t="str">
        <f t="shared" si="10"/>
        <v/>
      </c>
      <c r="AM48" t="s">
        <v>393</v>
      </c>
      <c r="AN48">
        <f t="shared" si="6"/>
        <v>52</v>
      </c>
      <c r="AO48" t="str">
        <f t="shared" si="7"/>
        <v>12.5.---29.5.---3.7.</v>
      </c>
      <c r="AP48" t="str">
        <f t="shared" si="8"/>
        <v>Viiriäinen</v>
      </c>
      <c r="AQ48" t="str">
        <f t="shared" si="11"/>
        <v>(12.5.---29.5.---3.7.)</v>
      </c>
    </row>
    <row r="49" spans="1:43" x14ac:dyDescent="0.2">
      <c r="A49" s="1"/>
      <c r="B49" s="9">
        <f t="shared" si="12"/>
        <v>46</v>
      </c>
      <c r="C49" s="10"/>
      <c r="D49" s="9" t="s">
        <v>45</v>
      </c>
      <c r="E49" s="10"/>
      <c r="F49" s="11"/>
      <c r="G49" s="12"/>
      <c r="H49" s="11"/>
      <c r="I49" s="12">
        <v>43471</v>
      </c>
      <c r="J49" s="11">
        <v>43466</v>
      </c>
      <c r="K49" s="12">
        <v>43466</v>
      </c>
      <c r="L49" s="11">
        <v>43466</v>
      </c>
      <c r="M49" s="12">
        <v>43466</v>
      </c>
      <c r="N49" s="11">
        <v>43466</v>
      </c>
      <c r="O49" s="12">
        <v>43466</v>
      </c>
      <c r="P49" s="11">
        <v>43466</v>
      </c>
      <c r="Q49" s="12">
        <v>43466</v>
      </c>
      <c r="R49" s="11">
        <v>43466</v>
      </c>
      <c r="S49" s="12">
        <v>43466</v>
      </c>
      <c r="T49" s="11">
        <v>43466</v>
      </c>
      <c r="U49" s="12">
        <v>43466</v>
      </c>
      <c r="V49" s="11">
        <v>43466</v>
      </c>
      <c r="W49" s="12">
        <v>43466</v>
      </c>
      <c r="X49" s="11">
        <v>43466</v>
      </c>
      <c r="Y49" s="12">
        <v>43467</v>
      </c>
      <c r="Z49" s="11">
        <v>43466</v>
      </c>
      <c r="AA49" s="12">
        <v>43466</v>
      </c>
      <c r="AB49" s="11">
        <v>43466</v>
      </c>
      <c r="AC49" s="12">
        <v>43466</v>
      </c>
      <c r="AD49" s="34"/>
      <c r="AE49" s="33">
        <f t="shared" si="2"/>
        <v>43466</v>
      </c>
      <c r="AF49" s="33">
        <f t="shared" si="3"/>
        <v>43466</v>
      </c>
      <c r="AG49" s="33">
        <f t="shared" si="4"/>
        <v>43471</v>
      </c>
      <c r="AH49">
        <v>53</v>
      </c>
      <c r="AK49" s="36" t="str">
        <f t="shared" si="5"/>
        <v/>
      </c>
      <c r="AL49">
        <f t="shared" si="10"/>
        <v>18</v>
      </c>
      <c r="AM49">
        <v>18</v>
      </c>
      <c r="AN49">
        <f t="shared" si="6"/>
        <v>5</v>
      </c>
      <c r="AO49" t="str">
        <f t="shared" si="7"/>
        <v>1.1.---1.1.---6.1.</v>
      </c>
      <c r="AP49" t="str">
        <f t="shared" si="8"/>
        <v>Pyy</v>
      </c>
      <c r="AQ49" t="str">
        <f t="shared" si="11"/>
        <v>(1.1.---1.1.---6.1., 18/21)</v>
      </c>
    </row>
    <row r="50" spans="1:43" x14ac:dyDescent="0.2">
      <c r="A50" s="1"/>
      <c r="B50" s="9">
        <f t="shared" si="12"/>
        <v>47</v>
      </c>
      <c r="C50" s="10"/>
      <c r="D50" s="9" t="s">
        <v>46</v>
      </c>
      <c r="E50" s="10"/>
      <c r="F50" s="11"/>
      <c r="G50" s="12"/>
      <c r="H50" s="11"/>
      <c r="I50" s="12">
        <v>43466</v>
      </c>
      <c r="J50" s="11">
        <v>43468</v>
      </c>
      <c r="K50" s="12">
        <v>43466</v>
      </c>
      <c r="L50" s="11">
        <v>43466</v>
      </c>
      <c r="M50" s="12">
        <v>43466</v>
      </c>
      <c r="N50" s="11">
        <v>43466</v>
      </c>
      <c r="O50" s="12">
        <v>43466</v>
      </c>
      <c r="P50" s="11">
        <v>43467</v>
      </c>
      <c r="Q50" s="12">
        <v>43466</v>
      </c>
      <c r="R50" s="11">
        <v>43466</v>
      </c>
      <c r="S50" s="12">
        <v>43466</v>
      </c>
      <c r="T50" s="11">
        <v>43468</v>
      </c>
      <c r="U50" s="12">
        <v>43466</v>
      </c>
      <c r="V50" s="11">
        <v>43467</v>
      </c>
      <c r="W50" s="12">
        <v>43470</v>
      </c>
      <c r="X50" s="11">
        <v>43466</v>
      </c>
      <c r="Y50" s="12">
        <v>43471</v>
      </c>
      <c r="Z50" s="11">
        <v>43466</v>
      </c>
      <c r="AA50" s="12">
        <v>43466</v>
      </c>
      <c r="AB50" s="11">
        <v>43466</v>
      </c>
      <c r="AC50" s="12">
        <v>43466</v>
      </c>
      <c r="AD50" s="34"/>
      <c r="AE50" s="33">
        <f t="shared" si="2"/>
        <v>43466</v>
      </c>
      <c r="AF50" s="33">
        <f t="shared" si="3"/>
        <v>43466</v>
      </c>
      <c r="AG50" s="33">
        <f t="shared" si="4"/>
        <v>43471</v>
      </c>
      <c r="AH50">
        <v>54</v>
      </c>
      <c r="AK50" s="36" t="str">
        <f t="shared" si="5"/>
        <v/>
      </c>
      <c r="AL50">
        <f t="shared" si="10"/>
        <v>18</v>
      </c>
      <c r="AM50">
        <v>18</v>
      </c>
      <c r="AN50">
        <f t="shared" si="6"/>
        <v>5</v>
      </c>
      <c r="AO50" t="str">
        <f t="shared" si="7"/>
        <v>1.1.---1.1.---6.1.</v>
      </c>
      <c r="AP50" t="str">
        <f t="shared" si="8"/>
        <v>Riekko</v>
      </c>
      <c r="AQ50" t="str">
        <f t="shared" si="11"/>
        <v>(1.1.---1.1.---6.1., 18/21)</v>
      </c>
    </row>
    <row r="51" spans="1:43" x14ac:dyDescent="0.2">
      <c r="A51" s="1"/>
      <c r="B51" s="9">
        <f t="shared" si="12"/>
        <v>48</v>
      </c>
      <c r="C51" s="10"/>
      <c r="D51" s="9" t="s">
        <v>47</v>
      </c>
      <c r="E51" s="10"/>
      <c r="F51" s="11"/>
      <c r="G51" s="12"/>
      <c r="H51" s="11"/>
      <c r="I51" s="12">
        <v>43466</v>
      </c>
      <c r="J51" s="11">
        <v>43466</v>
      </c>
      <c r="K51" s="12">
        <v>43466</v>
      </c>
      <c r="L51" s="11">
        <v>43466</v>
      </c>
      <c r="M51" s="12">
        <v>43466</v>
      </c>
      <c r="N51" s="11">
        <v>43466</v>
      </c>
      <c r="O51" s="12">
        <v>43466</v>
      </c>
      <c r="P51" s="11">
        <v>43466</v>
      </c>
      <c r="Q51" s="12">
        <v>43466</v>
      </c>
      <c r="R51" s="11">
        <v>43466</v>
      </c>
      <c r="S51" s="12">
        <v>43466</v>
      </c>
      <c r="T51" s="11">
        <v>43466</v>
      </c>
      <c r="U51" s="12">
        <v>43466</v>
      </c>
      <c r="V51" s="11">
        <v>43466</v>
      </c>
      <c r="W51" s="12">
        <v>43466</v>
      </c>
      <c r="X51" s="11">
        <v>43466</v>
      </c>
      <c r="Y51" s="12">
        <v>43466</v>
      </c>
      <c r="Z51" s="11">
        <v>43466</v>
      </c>
      <c r="AA51" s="12">
        <v>43466</v>
      </c>
      <c r="AB51" s="11">
        <v>43466</v>
      </c>
      <c r="AC51" s="12">
        <v>43466</v>
      </c>
      <c r="AD51" s="34"/>
      <c r="AE51" s="33">
        <f t="shared" si="2"/>
        <v>43466</v>
      </c>
      <c r="AF51" s="33">
        <f t="shared" si="3"/>
        <v>43466</v>
      </c>
      <c r="AG51" s="33">
        <f t="shared" si="4"/>
        <v>43466</v>
      </c>
      <c r="AH51">
        <v>56</v>
      </c>
      <c r="AK51" s="36" t="str">
        <f t="shared" si="5"/>
        <v/>
      </c>
      <c r="AL51">
        <f t="shared" si="10"/>
        <v>18</v>
      </c>
      <c r="AM51">
        <v>18</v>
      </c>
      <c r="AN51">
        <f t="shared" si="6"/>
        <v>0</v>
      </c>
      <c r="AO51" t="str">
        <f t="shared" si="7"/>
        <v>1.1.---1.1.---1.1.</v>
      </c>
      <c r="AP51" t="str">
        <f t="shared" si="8"/>
        <v>Teeri</v>
      </c>
      <c r="AQ51" t="str">
        <f t="shared" si="11"/>
        <v>(1.1.---1.1.---1.1., 18/21)</v>
      </c>
    </row>
    <row r="52" spans="1:43" x14ac:dyDescent="0.2">
      <c r="A52" s="1"/>
      <c r="B52" s="9">
        <f t="shared" si="12"/>
        <v>49</v>
      </c>
      <c r="C52" s="10"/>
      <c r="D52" s="9" t="s">
        <v>48</v>
      </c>
      <c r="E52" s="10"/>
      <c r="F52" s="11"/>
      <c r="G52" s="12"/>
      <c r="H52" s="11"/>
      <c r="I52" s="12">
        <v>43468</v>
      </c>
      <c r="J52" s="11">
        <v>43466</v>
      </c>
      <c r="K52" s="12">
        <v>43466</v>
      </c>
      <c r="L52" s="11">
        <v>43467</v>
      </c>
      <c r="M52" s="12">
        <v>43466</v>
      </c>
      <c r="N52" s="11">
        <v>43466</v>
      </c>
      <c r="O52" s="12">
        <v>43467</v>
      </c>
      <c r="P52" s="11">
        <v>43466</v>
      </c>
      <c r="Q52" s="12">
        <v>43466</v>
      </c>
      <c r="R52" s="11">
        <v>43466</v>
      </c>
      <c r="S52" s="12">
        <v>43468</v>
      </c>
      <c r="T52" s="11">
        <v>43466</v>
      </c>
      <c r="U52" s="12">
        <v>43466</v>
      </c>
      <c r="V52" s="11">
        <v>43466</v>
      </c>
      <c r="W52" s="12">
        <v>43466</v>
      </c>
      <c r="X52" s="11">
        <v>43466</v>
      </c>
      <c r="Y52" s="12">
        <v>43470</v>
      </c>
      <c r="Z52" s="11">
        <v>43466</v>
      </c>
      <c r="AA52" s="12">
        <v>43467</v>
      </c>
      <c r="AB52" s="11">
        <v>43466</v>
      </c>
      <c r="AC52" s="12">
        <v>43466</v>
      </c>
      <c r="AD52" s="34"/>
      <c r="AE52" s="33">
        <f t="shared" si="2"/>
        <v>43466</v>
      </c>
      <c r="AF52" s="33">
        <f t="shared" si="3"/>
        <v>43466</v>
      </c>
      <c r="AG52" s="33">
        <f t="shared" si="4"/>
        <v>43470</v>
      </c>
      <c r="AH52">
        <v>57</v>
      </c>
      <c r="AK52" s="36" t="str">
        <f t="shared" si="5"/>
        <v/>
      </c>
      <c r="AL52">
        <f t="shared" si="10"/>
        <v>18</v>
      </c>
      <c r="AM52">
        <v>18</v>
      </c>
      <c r="AN52">
        <f t="shared" si="6"/>
        <v>4</v>
      </c>
      <c r="AO52" t="str">
        <f t="shared" si="7"/>
        <v>1.1.---1.1.---5.1.</v>
      </c>
      <c r="AP52" t="str">
        <f t="shared" si="8"/>
        <v>Metso</v>
      </c>
      <c r="AQ52" t="str">
        <f t="shared" si="11"/>
        <v>(1.1.---1.1.---5.1., 18/21)</v>
      </c>
    </row>
    <row r="53" spans="1:43" x14ac:dyDescent="0.2">
      <c r="A53" s="1"/>
      <c r="B53" s="9">
        <f t="shared" si="12"/>
        <v>50</v>
      </c>
      <c r="C53" s="10"/>
      <c r="D53" s="9" t="s">
        <v>49</v>
      </c>
      <c r="E53" s="10"/>
      <c r="F53" s="11">
        <v>43467</v>
      </c>
      <c r="G53" s="12">
        <v>43469</v>
      </c>
      <c r="H53" s="11"/>
      <c r="I53" s="12">
        <v>43466</v>
      </c>
      <c r="J53" s="11">
        <v>43466</v>
      </c>
      <c r="K53" s="12">
        <v>43466</v>
      </c>
      <c r="L53" s="11">
        <v>43466</v>
      </c>
      <c r="M53" s="12">
        <v>43466</v>
      </c>
      <c r="N53" s="11">
        <v>43466</v>
      </c>
      <c r="O53" s="12">
        <v>43466</v>
      </c>
      <c r="P53" s="11">
        <v>43466</v>
      </c>
      <c r="Q53" s="12">
        <v>43471</v>
      </c>
      <c r="R53" s="11">
        <v>43466</v>
      </c>
      <c r="S53" s="12">
        <v>43466</v>
      </c>
      <c r="T53" s="11">
        <v>43466</v>
      </c>
      <c r="U53" s="12">
        <v>43466</v>
      </c>
      <c r="V53" s="11">
        <v>43470</v>
      </c>
      <c r="W53" s="12">
        <v>43467</v>
      </c>
      <c r="X53" s="11">
        <v>43466</v>
      </c>
      <c r="Y53" s="12">
        <v>43466</v>
      </c>
      <c r="Z53" s="11">
        <v>43466</v>
      </c>
      <c r="AA53" s="12">
        <v>43466</v>
      </c>
      <c r="AB53" s="11">
        <v>43466</v>
      </c>
      <c r="AC53" s="12">
        <v>43466</v>
      </c>
      <c r="AD53" s="34"/>
      <c r="AE53" s="33">
        <f t="shared" si="2"/>
        <v>43466</v>
      </c>
      <c r="AF53" s="33">
        <f t="shared" si="3"/>
        <v>43466</v>
      </c>
      <c r="AG53" s="33">
        <f t="shared" si="4"/>
        <v>43471</v>
      </c>
      <c r="AH53">
        <v>58</v>
      </c>
      <c r="AK53" s="36" t="str">
        <f t="shared" si="5"/>
        <v/>
      </c>
      <c r="AL53">
        <f t="shared" si="10"/>
        <v>20</v>
      </c>
      <c r="AM53">
        <v>20</v>
      </c>
      <c r="AN53">
        <f t="shared" si="6"/>
        <v>5</v>
      </c>
      <c r="AO53" t="str">
        <f t="shared" si="7"/>
        <v>1.1.---1.1.---6.1.</v>
      </c>
      <c r="AP53" t="str">
        <f t="shared" si="8"/>
        <v>Peltopyy</v>
      </c>
      <c r="AQ53" t="str">
        <f t="shared" si="11"/>
        <v>(1.1.---1.1.---6.1., 20/21)</v>
      </c>
    </row>
    <row r="54" spans="1:43" x14ac:dyDescent="0.2">
      <c r="A54" s="1"/>
      <c r="B54" s="9">
        <f t="shared" si="12"/>
        <v>51</v>
      </c>
      <c r="C54" s="10"/>
      <c r="D54" s="9" t="s">
        <v>50</v>
      </c>
      <c r="E54" s="10"/>
      <c r="F54" s="11"/>
      <c r="G54" s="12"/>
      <c r="H54" s="11"/>
      <c r="I54" s="12">
        <v>43470</v>
      </c>
      <c r="J54" s="11">
        <v>43466</v>
      </c>
      <c r="K54" s="12">
        <v>43466</v>
      </c>
      <c r="L54" s="11">
        <v>43466</v>
      </c>
      <c r="M54" s="12">
        <v>43466</v>
      </c>
      <c r="N54" s="11">
        <v>43466</v>
      </c>
      <c r="O54" s="12">
        <v>43466</v>
      </c>
      <c r="P54" s="11">
        <v>43466</v>
      </c>
      <c r="Q54" s="12">
        <v>43466</v>
      </c>
      <c r="R54" s="11">
        <v>43466</v>
      </c>
      <c r="S54" s="12">
        <v>43466</v>
      </c>
      <c r="T54" s="11">
        <v>43466</v>
      </c>
      <c r="U54" s="12">
        <v>43466</v>
      </c>
      <c r="V54" s="11">
        <v>43466</v>
      </c>
      <c r="W54" s="12">
        <v>43466</v>
      </c>
      <c r="X54" s="11">
        <v>43466</v>
      </c>
      <c r="Y54" s="12">
        <v>43466</v>
      </c>
      <c r="Z54" s="11">
        <v>43466</v>
      </c>
      <c r="AA54" s="12">
        <v>43466</v>
      </c>
      <c r="AB54" s="11">
        <v>43466</v>
      </c>
      <c r="AC54" s="12">
        <v>43466</v>
      </c>
      <c r="AD54" s="34"/>
      <c r="AE54" s="33">
        <f t="shared" si="2"/>
        <v>43466</v>
      </c>
      <c r="AF54" s="33">
        <f t="shared" si="3"/>
        <v>43466</v>
      </c>
      <c r="AG54" s="33">
        <f t="shared" si="4"/>
        <v>43470</v>
      </c>
      <c r="AH54">
        <v>59</v>
      </c>
      <c r="AK54" s="36" t="str">
        <f t="shared" si="5"/>
        <v/>
      </c>
      <c r="AL54">
        <f t="shared" si="10"/>
        <v>18</v>
      </c>
      <c r="AM54">
        <v>18</v>
      </c>
      <c r="AN54">
        <f t="shared" si="6"/>
        <v>4</v>
      </c>
      <c r="AO54" t="str">
        <f t="shared" si="7"/>
        <v>1.1.---1.1.---5.1.</v>
      </c>
      <c r="AP54" t="str">
        <f t="shared" si="8"/>
        <v>Fasaani</v>
      </c>
      <c r="AQ54" t="str">
        <f t="shared" si="11"/>
        <v>(1.1.---1.1.---5.1., 18/21)</v>
      </c>
    </row>
    <row r="55" spans="1:43" x14ac:dyDescent="0.2">
      <c r="A55" s="1"/>
      <c r="B55" s="9">
        <f t="shared" si="12"/>
        <v>52</v>
      </c>
      <c r="C55" s="10"/>
      <c r="D55" s="9" t="s">
        <v>51</v>
      </c>
      <c r="E55" s="10"/>
      <c r="F55" s="11">
        <v>43578</v>
      </c>
      <c r="G55" s="12">
        <f>IF(AG1,DATE(2019,1,17),DATE(2019,4,29))</f>
        <v>43584</v>
      </c>
      <c r="H55" s="11">
        <v>43578</v>
      </c>
      <c r="I55" s="12">
        <v>43581</v>
      </c>
      <c r="J55" s="11">
        <v>43571</v>
      </c>
      <c r="K55" s="12">
        <f>IF(AG1,DATE(2019,1,2),DATE(2019,4,27))</f>
        <v>43582</v>
      </c>
      <c r="L55" s="11">
        <f>IF(AG1,DATE(2019,1,1),DATE(2019,4,22))</f>
        <v>43577</v>
      </c>
      <c r="M55" s="12">
        <v>43577</v>
      </c>
      <c r="N55" s="11">
        <v>43573</v>
      </c>
      <c r="O55" s="12">
        <f>IF(AG1,DATE(2019,1,1),DATE(2019,3,22))</f>
        <v>43546</v>
      </c>
      <c r="P55" s="11">
        <f>IF(AG1,DATE(2019,1,6),DATE(2019,4,26))</f>
        <v>43581</v>
      </c>
      <c r="Q55" s="12">
        <v>43584</v>
      </c>
      <c r="R55" s="11">
        <v>43579</v>
      </c>
      <c r="S55" s="12">
        <v>43580</v>
      </c>
      <c r="T55" s="11">
        <f>IF(AG1,DATE(2019,1,1),DATE(2019,4,12))</f>
        <v>43567</v>
      </c>
      <c r="U55" s="12">
        <v>43566</v>
      </c>
      <c r="V55" s="11">
        <f>IF(AG1,DATE(2019,1,28),DATE(2019,4,10))</f>
        <v>43565</v>
      </c>
      <c r="W55" s="12">
        <v>43576</v>
      </c>
      <c r="X55" s="11">
        <v>43582</v>
      </c>
      <c r="Y55" s="12">
        <v>43576</v>
      </c>
      <c r="Z55" s="11">
        <f>IF(AG1,DATE(2019,1,3),DATE(2019,4,19))</f>
        <v>43574</v>
      </c>
      <c r="AA55" s="12">
        <f>IF(AG1,DATE(2019,1,24),DATE(2019,4,21))</f>
        <v>43576</v>
      </c>
      <c r="AB55" s="11">
        <v>43582</v>
      </c>
      <c r="AC55" s="12">
        <v>43584</v>
      </c>
      <c r="AD55" s="34"/>
      <c r="AE55" s="33">
        <f t="shared" si="2"/>
        <v>43546</v>
      </c>
      <c r="AF55" s="33">
        <f t="shared" si="3"/>
        <v>43577.5</v>
      </c>
      <c r="AG55" s="33">
        <f t="shared" si="4"/>
        <v>43584</v>
      </c>
      <c r="AH55">
        <v>60</v>
      </c>
      <c r="AK55" s="36" t="str">
        <f t="shared" si="5"/>
        <v/>
      </c>
      <c r="AL55" t="str">
        <f t="shared" si="10"/>
        <v/>
      </c>
      <c r="AM55">
        <v>8</v>
      </c>
      <c r="AN55">
        <f t="shared" si="6"/>
        <v>38</v>
      </c>
      <c r="AO55" t="str">
        <f t="shared" si="7"/>
        <v>22.3.---22.4.---29.4.</v>
      </c>
      <c r="AP55" t="str">
        <f t="shared" si="8"/>
        <v>Kaakkuri</v>
      </c>
      <c r="AQ55" t="str">
        <f t="shared" si="11"/>
        <v>(22.3.---22.4.---29.4., 8/21)</v>
      </c>
    </row>
    <row r="56" spans="1:43" x14ac:dyDescent="0.2">
      <c r="A56" s="1"/>
      <c r="B56" s="9">
        <f t="shared" si="12"/>
        <v>53</v>
      </c>
      <c r="C56" s="10"/>
      <c r="D56" s="9" t="s">
        <v>52</v>
      </c>
      <c r="E56" s="10"/>
      <c r="F56" s="11">
        <v>43578</v>
      </c>
      <c r="G56" s="12">
        <v>43584</v>
      </c>
      <c r="H56" s="11">
        <v>43581</v>
      </c>
      <c r="I56" s="12">
        <v>43580</v>
      </c>
      <c r="J56" s="11">
        <v>43578</v>
      </c>
      <c r="K56" s="12">
        <v>43579</v>
      </c>
      <c r="L56" s="11">
        <v>43581</v>
      </c>
      <c r="M56" s="12">
        <v>43572</v>
      </c>
      <c r="N56" s="11">
        <v>43571</v>
      </c>
      <c r="O56" s="12">
        <f>IF(AG1,DATE(2019,1,1),DATE(2019,4,23))</f>
        <v>43578</v>
      </c>
      <c r="P56" s="11">
        <v>43581</v>
      </c>
      <c r="Q56" s="12">
        <v>43549</v>
      </c>
      <c r="R56" s="11">
        <v>43575</v>
      </c>
      <c r="S56" s="12">
        <v>43580</v>
      </c>
      <c r="T56" s="11">
        <v>43572</v>
      </c>
      <c r="U56" s="12">
        <v>43567</v>
      </c>
      <c r="V56" s="11">
        <v>43571</v>
      </c>
      <c r="W56" s="12">
        <v>43577</v>
      </c>
      <c r="X56" s="11">
        <v>43582</v>
      </c>
      <c r="Y56" s="12">
        <v>43571</v>
      </c>
      <c r="Z56" s="11">
        <f>IF(AG1,DATE(2019,1,10),DATE(2019,4,9))</f>
        <v>43564</v>
      </c>
      <c r="AA56" s="12">
        <v>43582</v>
      </c>
      <c r="AB56" s="11">
        <v>43580</v>
      </c>
      <c r="AC56" s="12">
        <v>43584</v>
      </c>
      <c r="AD56" s="34"/>
      <c r="AE56" s="33">
        <f t="shared" si="2"/>
        <v>43549</v>
      </c>
      <c r="AF56" s="33">
        <f t="shared" si="3"/>
        <v>43578</v>
      </c>
      <c r="AG56" s="33">
        <f t="shared" si="4"/>
        <v>43584</v>
      </c>
      <c r="AH56">
        <v>61</v>
      </c>
      <c r="AK56" s="36" t="str">
        <f t="shared" si="5"/>
        <v/>
      </c>
      <c r="AL56" t="str">
        <f t="shared" si="10"/>
        <v/>
      </c>
      <c r="AM56">
        <v>2</v>
      </c>
      <c r="AN56">
        <f t="shared" si="6"/>
        <v>35</v>
      </c>
      <c r="AO56" t="str">
        <f t="shared" si="7"/>
        <v>25.3.---23.4.---29.4.</v>
      </c>
      <c r="AP56" t="str">
        <f t="shared" si="8"/>
        <v>Kuikka</v>
      </c>
      <c r="AQ56" t="str">
        <f t="shared" si="11"/>
        <v>(25.3.---23.4.---29.4., 2/21)</v>
      </c>
    </row>
    <row r="57" spans="1:43" x14ac:dyDescent="0.2">
      <c r="A57" s="1"/>
      <c r="B57" s="9">
        <f t="shared" si="12"/>
        <v>54</v>
      </c>
      <c r="C57" s="10"/>
      <c r="D57" s="13" t="s">
        <v>53</v>
      </c>
      <c r="E57" s="14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11">
        <v>43761</v>
      </c>
      <c r="W57" s="12"/>
      <c r="X57" s="11"/>
      <c r="Y57" s="12"/>
      <c r="Z57" s="11"/>
      <c r="AA57" s="12"/>
      <c r="AB57" s="11"/>
      <c r="AC57" s="12">
        <v>43697</v>
      </c>
      <c r="AD57" s="34"/>
      <c r="AE57" s="33">
        <f t="shared" si="2"/>
        <v>43697</v>
      </c>
      <c r="AF57" s="33">
        <f t="shared" si="3"/>
        <v>43729</v>
      </c>
      <c r="AG57" s="33">
        <f t="shared" si="4"/>
        <v>43761</v>
      </c>
      <c r="AH57">
        <v>63</v>
      </c>
      <c r="AK57" s="36" t="str">
        <f t="shared" si="5"/>
        <v/>
      </c>
      <c r="AL57" t="str">
        <f t="shared" si="10"/>
        <v/>
      </c>
      <c r="AM57" t="s">
        <v>393</v>
      </c>
      <c r="AN57">
        <f t="shared" si="6"/>
        <v>64</v>
      </c>
      <c r="AO57" t="str">
        <f t="shared" si="7"/>
        <v>20.8.---21.9.---23.10.</v>
      </c>
      <c r="AP57" t="str">
        <f t="shared" si="8"/>
        <v>Amerikanjääkuikka</v>
      </c>
      <c r="AQ57" t="str">
        <f t="shared" si="11"/>
        <v>(20.8.---21.9.---23.10.)</v>
      </c>
    </row>
    <row r="58" spans="1:43" x14ac:dyDescent="0.2">
      <c r="A58" s="1"/>
      <c r="B58" s="9">
        <f t="shared" si="12"/>
        <v>55</v>
      </c>
      <c r="C58" s="10"/>
      <c r="D58" s="9" t="s">
        <v>54</v>
      </c>
      <c r="E58" s="10"/>
      <c r="F58" s="11">
        <v>43602</v>
      </c>
      <c r="G58" s="12">
        <v>43603</v>
      </c>
      <c r="H58" s="11">
        <v>43603</v>
      </c>
      <c r="I58" s="12">
        <v>43603</v>
      </c>
      <c r="J58" s="11">
        <v>43618</v>
      </c>
      <c r="K58" s="12">
        <v>43600</v>
      </c>
      <c r="L58" s="11">
        <v>43592</v>
      </c>
      <c r="M58" s="12">
        <v>43594</v>
      </c>
      <c r="N58" s="11">
        <v>43594</v>
      </c>
      <c r="O58" s="12">
        <v>43591</v>
      </c>
      <c r="P58" s="11">
        <v>43598</v>
      </c>
      <c r="Q58" s="12">
        <v>43592</v>
      </c>
      <c r="R58" s="11">
        <v>43598</v>
      </c>
      <c r="S58" s="12">
        <v>43590</v>
      </c>
      <c r="T58" s="11">
        <f>IF(AG1,DATE(2019,1,4),DATE(2019,5,11))</f>
        <v>43596</v>
      </c>
      <c r="U58" s="12">
        <v>43584</v>
      </c>
      <c r="V58" s="11">
        <v>43597</v>
      </c>
      <c r="W58" s="12">
        <f>IF(AG1,DATE(2019,2,20),DATE(2019,5,7))</f>
        <v>43592</v>
      </c>
      <c r="X58" s="11">
        <v>43590</v>
      </c>
      <c r="Y58" s="12">
        <v>43592</v>
      </c>
      <c r="Z58" s="11">
        <v>43593</v>
      </c>
      <c r="AA58" s="12">
        <v>43598</v>
      </c>
      <c r="AB58" s="11">
        <v>43746</v>
      </c>
      <c r="AC58" s="12">
        <v>43597</v>
      </c>
      <c r="AD58" s="34"/>
      <c r="AE58" s="33">
        <f t="shared" si="2"/>
        <v>43584</v>
      </c>
      <c r="AF58" s="33">
        <f t="shared" si="3"/>
        <v>43596.5</v>
      </c>
      <c r="AG58" s="33">
        <f t="shared" si="4"/>
        <v>43746</v>
      </c>
      <c r="AH58">
        <v>64</v>
      </c>
      <c r="AK58" s="36" t="str">
        <f t="shared" si="5"/>
        <v/>
      </c>
      <c r="AL58" t="str">
        <f t="shared" si="10"/>
        <v/>
      </c>
      <c r="AM58">
        <v>2</v>
      </c>
      <c r="AN58">
        <f t="shared" si="6"/>
        <v>162</v>
      </c>
      <c r="AO58" t="str">
        <f t="shared" si="7"/>
        <v>29.4.---11.5.---8.10.</v>
      </c>
      <c r="AP58" t="str">
        <f t="shared" si="8"/>
        <v>Jääkuikka</v>
      </c>
      <c r="AQ58" t="str">
        <f t="shared" si="11"/>
        <v>(29.4.---11.5.---8.10., 2/21)</v>
      </c>
    </row>
    <row r="59" spans="1:43" x14ac:dyDescent="0.2">
      <c r="A59" s="1"/>
      <c r="B59" s="9">
        <f t="shared" si="12"/>
        <v>56</v>
      </c>
      <c r="C59" s="10"/>
      <c r="D59" s="9" t="s">
        <v>55</v>
      </c>
      <c r="E59" s="10"/>
      <c r="F59" s="11">
        <v>43753</v>
      </c>
      <c r="G59" s="12">
        <v>43466</v>
      </c>
      <c r="H59" s="11">
        <v>43593</v>
      </c>
      <c r="I59" s="12">
        <v>43466</v>
      </c>
      <c r="J59" s="11">
        <v>43466</v>
      </c>
      <c r="K59" s="12">
        <v>43467</v>
      </c>
      <c r="L59" s="11">
        <v>43466</v>
      </c>
      <c r="M59" s="12">
        <v>43466</v>
      </c>
      <c r="N59" s="11">
        <v>43467</v>
      </c>
      <c r="O59" s="12">
        <v>43476</v>
      </c>
      <c r="P59" s="11">
        <v>43733</v>
      </c>
      <c r="Q59" s="12">
        <v>43726</v>
      </c>
      <c r="R59" s="11">
        <v>43467</v>
      </c>
      <c r="S59" s="12">
        <v>43473</v>
      </c>
      <c r="T59" s="11">
        <v>43726</v>
      </c>
      <c r="U59" s="12">
        <v>43466</v>
      </c>
      <c r="V59" s="11">
        <v>43466</v>
      </c>
      <c r="W59" s="12">
        <v>43466</v>
      </c>
      <c r="X59" s="11">
        <v>43749</v>
      </c>
      <c r="Y59" s="12">
        <v>43466</v>
      </c>
      <c r="Z59" s="11">
        <v>43689</v>
      </c>
      <c r="AA59" s="12">
        <v>43467</v>
      </c>
      <c r="AB59" s="11"/>
      <c r="AC59" s="12">
        <v>43766</v>
      </c>
      <c r="AD59" s="34"/>
      <c r="AE59" s="33">
        <f t="shared" si="2"/>
        <v>43466</v>
      </c>
      <c r="AF59" s="33">
        <f t="shared" si="3"/>
        <v>43467</v>
      </c>
      <c r="AG59" s="33">
        <f t="shared" si="4"/>
        <v>43766</v>
      </c>
      <c r="AH59">
        <v>65</v>
      </c>
      <c r="AK59" s="36" t="str">
        <f t="shared" si="5"/>
        <v/>
      </c>
      <c r="AL59">
        <f t="shared" si="10"/>
        <v>14</v>
      </c>
      <c r="AM59">
        <v>14</v>
      </c>
      <c r="AN59">
        <f t="shared" si="6"/>
        <v>300</v>
      </c>
      <c r="AO59" t="str">
        <f t="shared" si="7"/>
        <v>1.1.---2.1.---28.10.</v>
      </c>
      <c r="AP59" t="str">
        <f t="shared" si="8"/>
        <v>Pikku-uikku</v>
      </c>
      <c r="AQ59" t="str">
        <f t="shared" si="11"/>
        <v>(1.1.---2.1.---28.10., 14/21)</v>
      </c>
    </row>
    <row r="60" spans="1:43" x14ac:dyDescent="0.2">
      <c r="A60" s="1"/>
      <c r="B60" s="9">
        <f t="shared" si="12"/>
        <v>57</v>
      </c>
      <c r="C60" s="10"/>
      <c r="D60" s="9" t="s">
        <v>56</v>
      </c>
      <c r="E60" s="10"/>
      <c r="F60" s="11">
        <v>43571</v>
      </c>
      <c r="G60" s="12">
        <v>43577</v>
      </c>
      <c r="H60" s="11">
        <v>43574</v>
      </c>
      <c r="I60" s="12">
        <v>43581</v>
      </c>
      <c r="J60" s="11">
        <v>43571</v>
      </c>
      <c r="K60" s="12">
        <v>43576</v>
      </c>
      <c r="L60" s="11">
        <v>43581</v>
      </c>
      <c r="M60" s="12">
        <v>43565</v>
      </c>
      <c r="N60" s="11">
        <v>43571</v>
      </c>
      <c r="O60" s="12">
        <v>43577</v>
      </c>
      <c r="P60" s="11">
        <v>43580</v>
      </c>
      <c r="Q60" s="12">
        <v>43566</v>
      </c>
      <c r="R60" s="11">
        <f>IF(AG1,DATE(2019,1,8),DATE(2019,4,16))</f>
        <v>43571</v>
      </c>
      <c r="S60" s="12">
        <v>43575</v>
      </c>
      <c r="T60" s="11">
        <v>43568</v>
      </c>
      <c r="U60" s="12">
        <f>IF(AG1,DATE(2019,1,1),DATE(2019,4,12))</f>
        <v>43567</v>
      </c>
      <c r="V60" s="11">
        <v>43566</v>
      </c>
      <c r="W60" s="12">
        <v>43575</v>
      </c>
      <c r="X60" s="11">
        <v>43576</v>
      </c>
      <c r="Y60" s="12">
        <v>43574</v>
      </c>
      <c r="Z60" s="11">
        <v>43564</v>
      </c>
      <c r="AA60" s="12">
        <v>43569</v>
      </c>
      <c r="AB60" s="11">
        <v>43577</v>
      </c>
      <c r="AC60" s="12">
        <v>43575</v>
      </c>
      <c r="AD60" s="34"/>
      <c r="AE60" s="33">
        <f t="shared" si="2"/>
        <v>43564</v>
      </c>
      <c r="AF60" s="33">
        <f t="shared" si="3"/>
        <v>43574</v>
      </c>
      <c r="AG60" s="33">
        <f t="shared" si="4"/>
        <v>43581</v>
      </c>
      <c r="AH60">
        <v>66</v>
      </c>
      <c r="AK60" s="36" t="str">
        <f t="shared" si="5"/>
        <v/>
      </c>
      <c r="AL60" t="str">
        <f t="shared" si="10"/>
        <v/>
      </c>
      <c r="AM60">
        <v>2</v>
      </c>
      <c r="AN60">
        <f t="shared" si="6"/>
        <v>17</v>
      </c>
      <c r="AO60" t="str">
        <f t="shared" si="7"/>
        <v>9.4.---19.4.---26.4.</v>
      </c>
      <c r="AP60" t="str">
        <f t="shared" si="8"/>
        <v>Silkkiuikku</v>
      </c>
      <c r="AQ60" t="str">
        <f t="shared" si="11"/>
        <v>(9.4.---19.4.---26.4., 2/21)</v>
      </c>
    </row>
    <row r="61" spans="1:43" x14ac:dyDescent="0.2">
      <c r="A61" s="1"/>
      <c r="B61" s="9">
        <f t="shared" si="12"/>
        <v>58</v>
      </c>
      <c r="C61" s="10"/>
      <c r="D61" s="9" t="s">
        <v>57</v>
      </c>
      <c r="E61" s="10"/>
      <c r="F61" s="11">
        <v>43592</v>
      </c>
      <c r="G61" s="12">
        <v>43590</v>
      </c>
      <c r="H61" s="11">
        <v>43585</v>
      </c>
      <c r="I61" s="12">
        <v>43592</v>
      </c>
      <c r="J61" s="11">
        <v>43585</v>
      </c>
      <c r="K61" s="12">
        <v>43588</v>
      </c>
      <c r="L61" s="11">
        <v>43589</v>
      </c>
      <c r="M61" s="12">
        <v>43585</v>
      </c>
      <c r="N61" s="11">
        <v>43583</v>
      </c>
      <c r="O61" s="12">
        <v>43584</v>
      </c>
      <c r="P61" s="11">
        <v>43593</v>
      </c>
      <c r="Q61" s="12">
        <v>43586</v>
      </c>
      <c r="R61" s="11">
        <v>43583</v>
      </c>
      <c r="S61" s="12">
        <v>43588</v>
      </c>
      <c r="T61" s="11">
        <v>43580</v>
      </c>
      <c r="U61" s="12">
        <v>43580</v>
      </c>
      <c r="V61" s="11">
        <v>43573</v>
      </c>
      <c r="W61" s="12">
        <v>43587</v>
      </c>
      <c r="X61" s="11">
        <v>43590</v>
      </c>
      <c r="Y61" s="12">
        <v>43586</v>
      </c>
      <c r="Z61" s="11">
        <v>43575</v>
      </c>
      <c r="AA61" s="12">
        <v>43593</v>
      </c>
      <c r="AB61" s="11">
        <v>43591</v>
      </c>
      <c r="AC61" s="12">
        <v>43586</v>
      </c>
      <c r="AD61" s="34"/>
      <c r="AE61" s="33">
        <f t="shared" si="2"/>
        <v>43573</v>
      </c>
      <c r="AF61" s="33">
        <f t="shared" si="3"/>
        <v>43586</v>
      </c>
      <c r="AG61" s="33">
        <f t="shared" si="4"/>
        <v>43593</v>
      </c>
      <c r="AH61">
        <v>67</v>
      </c>
      <c r="AK61" s="36" t="str">
        <f t="shared" si="5"/>
        <v/>
      </c>
      <c r="AL61" t="str">
        <f t="shared" si="10"/>
        <v/>
      </c>
      <c r="AM61" t="s">
        <v>393</v>
      </c>
      <c r="AN61">
        <f t="shared" si="6"/>
        <v>20</v>
      </c>
      <c r="AO61" t="str">
        <f t="shared" si="7"/>
        <v>18.4.---1.5.---8.5.</v>
      </c>
      <c r="AP61" t="str">
        <f t="shared" si="8"/>
        <v>Härkälintu</v>
      </c>
      <c r="AQ61" t="str">
        <f t="shared" si="11"/>
        <v>(18.4.---1.5.---8.5.)</v>
      </c>
    </row>
    <row r="62" spans="1:43" x14ac:dyDescent="0.2">
      <c r="A62" s="1"/>
      <c r="B62" s="9">
        <f t="shared" si="12"/>
        <v>59</v>
      </c>
      <c r="C62" s="10"/>
      <c r="D62" s="9" t="s">
        <v>58</v>
      </c>
      <c r="E62" s="10"/>
      <c r="F62" s="11">
        <v>43581</v>
      </c>
      <c r="G62" s="12">
        <v>43585</v>
      </c>
      <c r="H62" s="11">
        <v>43583</v>
      </c>
      <c r="I62" s="12">
        <v>43578</v>
      </c>
      <c r="J62" s="11">
        <v>43580</v>
      </c>
      <c r="K62" s="12">
        <v>43580</v>
      </c>
      <c r="L62" s="11">
        <v>43585</v>
      </c>
      <c r="M62" s="12">
        <v>43580</v>
      </c>
      <c r="N62" s="11">
        <v>43578</v>
      </c>
      <c r="O62" s="12">
        <v>43582</v>
      </c>
      <c r="P62" s="11">
        <v>43586</v>
      </c>
      <c r="Q62" s="12">
        <v>43583</v>
      </c>
      <c r="R62" s="11">
        <v>43583</v>
      </c>
      <c r="S62" s="12">
        <v>43585</v>
      </c>
      <c r="T62" s="11">
        <v>43573</v>
      </c>
      <c r="U62" s="12">
        <v>43577</v>
      </c>
      <c r="V62" s="11">
        <v>43574</v>
      </c>
      <c r="W62" s="12">
        <v>43580</v>
      </c>
      <c r="X62" s="11">
        <v>43584</v>
      </c>
      <c r="Y62" s="12">
        <v>43579</v>
      </c>
      <c r="Z62" s="11">
        <v>43575</v>
      </c>
      <c r="AA62" s="12">
        <v>43577</v>
      </c>
      <c r="AB62" s="11">
        <v>43582</v>
      </c>
      <c r="AC62" s="12">
        <v>43587</v>
      </c>
      <c r="AD62" s="34"/>
      <c r="AE62" s="33">
        <f t="shared" si="2"/>
        <v>43573</v>
      </c>
      <c r="AF62" s="33">
        <f t="shared" si="3"/>
        <v>43580.5</v>
      </c>
      <c r="AG62" s="33">
        <f t="shared" si="4"/>
        <v>43587</v>
      </c>
      <c r="AH62">
        <v>68</v>
      </c>
      <c r="AK62" s="36" t="str">
        <f t="shared" si="5"/>
        <v/>
      </c>
      <c r="AL62" t="str">
        <f t="shared" si="10"/>
        <v/>
      </c>
      <c r="AM62" t="s">
        <v>393</v>
      </c>
      <c r="AN62">
        <f t="shared" si="6"/>
        <v>14</v>
      </c>
      <c r="AO62" t="str">
        <f t="shared" si="7"/>
        <v>18.4.---25.4.---2.5.</v>
      </c>
      <c r="AP62" t="str">
        <f t="shared" si="8"/>
        <v>Mustakurkku-uikku</v>
      </c>
      <c r="AQ62" t="str">
        <f t="shared" si="11"/>
        <v>(18.4.---25.4.---2.5.)</v>
      </c>
    </row>
    <row r="63" spans="1:43" x14ac:dyDescent="0.2">
      <c r="A63" s="1"/>
      <c r="B63" s="9">
        <f t="shared" si="12"/>
        <v>60</v>
      </c>
      <c r="C63" s="10"/>
      <c r="D63" s="15" t="s">
        <v>59</v>
      </c>
      <c r="E63" s="16"/>
      <c r="F63" s="11"/>
      <c r="G63" s="12"/>
      <c r="H63" s="11"/>
      <c r="I63" s="12"/>
      <c r="J63" s="11"/>
      <c r="K63" s="12"/>
      <c r="L63" s="11"/>
      <c r="M63" s="12"/>
      <c r="N63" s="11">
        <v>43610</v>
      </c>
      <c r="O63" s="12"/>
      <c r="P63" s="11"/>
      <c r="Q63" s="12"/>
      <c r="R63" s="11">
        <v>43593</v>
      </c>
      <c r="S63" s="12"/>
      <c r="T63" s="11">
        <v>43602</v>
      </c>
      <c r="U63" s="12"/>
      <c r="V63" s="11"/>
      <c r="W63" s="12"/>
      <c r="X63" s="11"/>
      <c r="Y63" s="12"/>
      <c r="Z63" s="11">
        <v>43727</v>
      </c>
      <c r="AA63" s="12"/>
      <c r="AB63" s="11"/>
      <c r="AC63" s="12" t="s">
        <v>393</v>
      </c>
      <c r="AD63" s="34"/>
      <c r="AE63" s="33">
        <f t="shared" si="2"/>
        <v>43593</v>
      </c>
      <c r="AF63" s="33">
        <f t="shared" si="3"/>
        <v>43606</v>
      </c>
      <c r="AG63" s="33">
        <f t="shared" si="4"/>
        <v>43727</v>
      </c>
      <c r="AH63">
        <v>69</v>
      </c>
      <c r="AK63" s="36" t="str">
        <f t="shared" si="5"/>
        <v/>
      </c>
      <c r="AL63" t="str">
        <f t="shared" si="10"/>
        <v/>
      </c>
      <c r="AM63" t="s">
        <v>393</v>
      </c>
      <c r="AN63">
        <f t="shared" si="6"/>
        <v>134</v>
      </c>
      <c r="AO63" t="str">
        <f t="shared" si="7"/>
        <v>8.5.---21.5.---19.9.</v>
      </c>
      <c r="AP63" t="str">
        <f t="shared" si="8"/>
        <v>Mustakaulauikku</v>
      </c>
      <c r="AQ63" t="str">
        <f t="shared" si="11"/>
        <v>(8.5.---21.5.---19.9.)</v>
      </c>
    </row>
    <row r="64" spans="1:43" x14ac:dyDescent="0.2">
      <c r="A64" s="1"/>
      <c r="B64" s="9">
        <f t="shared" si="12"/>
        <v>61</v>
      </c>
      <c r="C64" s="10"/>
      <c r="D64" s="15" t="s">
        <v>60</v>
      </c>
      <c r="E64" s="16"/>
      <c r="F64" s="11"/>
      <c r="G64" s="12"/>
      <c r="H64" s="11"/>
      <c r="I64" s="12"/>
      <c r="J64" s="11"/>
      <c r="K64" s="12"/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  <c r="AA64" s="12"/>
      <c r="AB64" s="11"/>
      <c r="AC64" s="12" t="s">
        <v>393</v>
      </c>
      <c r="AD64" s="34"/>
      <c r="AE64" s="33" t="str">
        <f t="shared" si="2"/>
        <v/>
      </c>
      <c r="AF64" s="33" t="str">
        <f t="shared" si="3"/>
        <v/>
      </c>
      <c r="AG64" s="33" t="str">
        <f t="shared" si="4"/>
        <v/>
      </c>
      <c r="AH64">
        <v>70</v>
      </c>
      <c r="AK64" s="36" t="str">
        <f t="shared" si="5"/>
        <v/>
      </c>
      <c r="AL64" t="str">
        <f t="shared" si="10"/>
        <v/>
      </c>
      <c r="AM64" t="s">
        <v>393</v>
      </c>
      <c r="AN64" t="e">
        <f t="shared" si="6"/>
        <v>#VALUE!</v>
      </c>
      <c r="AO64" t="str">
        <f t="shared" si="7"/>
        <v>------</v>
      </c>
      <c r="AP64" t="str">
        <f t="shared" si="8"/>
        <v>Myrskylintu</v>
      </c>
      <c r="AQ64" t="str">
        <f t="shared" si="11"/>
        <v>(------)</v>
      </c>
    </row>
    <row r="65" spans="1:43" x14ac:dyDescent="0.2">
      <c r="A65" s="1"/>
      <c r="B65" s="9">
        <f t="shared" si="12"/>
        <v>62</v>
      </c>
      <c r="C65" s="10"/>
      <c r="D65" s="15" t="s">
        <v>61</v>
      </c>
      <c r="E65" s="16"/>
      <c r="F65" s="11"/>
      <c r="G65" s="12"/>
      <c r="H65" s="11"/>
      <c r="I65" s="12"/>
      <c r="J65" s="11"/>
      <c r="K65" s="12"/>
      <c r="L65" s="11"/>
      <c r="M65" s="12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  <c r="AA65" s="12"/>
      <c r="AB65" s="11"/>
      <c r="AC65" s="12" t="s">
        <v>393</v>
      </c>
      <c r="AD65" s="34"/>
      <c r="AE65" s="33" t="str">
        <f t="shared" si="2"/>
        <v/>
      </c>
      <c r="AF65" s="33" t="str">
        <f t="shared" si="3"/>
        <v/>
      </c>
      <c r="AG65" s="33" t="str">
        <f t="shared" si="4"/>
        <v/>
      </c>
      <c r="AH65">
        <v>75</v>
      </c>
      <c r="AK65" s="36" t="str">
        <f t="shared" si="5"/>
        <v/>
      </c>
      <c r="AL65" t="str">
        <f t="shared" si="10"/>
        <v/>
      </c>
      <c r="AM65" t="s">
        <v>393</v>
      </c>
      <c r="AN65" t="e">
        <f t="shared" si="6"/>
        <v>#VALUE!</v>
      </c>
      <c r="AO65" t="str">
        <f t="shared" si="7"/>
        <v>------</v>
      </c>
      <c r="AP65" t="str">
        <f t="shared" si="8"/>
        <v>Myrskykeiju</v>
      </c>
      <c r="AQ65" t="str">
        <f t="shared" si="11"/>
        <v>(------)</v>
      </c>
    </row>
    <row r="66" spans="1:43" x14ac:dyDescent="0.2">
      <c r="A66" s="1"/>
      <c r="B66" s="9">
        <f t="shared" si="12"/>
        <v>63</v>
      </c>
      <c r="C66" s="10"/>
      <c r="D66" s="15" t="s">
        <v>62</v>
      </c>
      <c r="E66" s="16"/>
      <c r="F66" s="11"/>
      <c r="G66" s="12"/>
      <c r="H66" s="11"/>
      <c r="I66" s="12"/>
      <c r="J66" s="11"/>
      <c r="K66" s="12"/>
      <c r="L66" s="11"/>
      <c r="M66" s="12"/>
      <c r="N66" s="11">
        <v>43617</v>
      </c>
      <c r="O66" s="12"/>
      <c r="P66" s="11"/>
      <c r="Q66" s="12"/>
      <c r="R66" s="11"/>
      <c r="S66" s="12"/>
      <c r="T66" s="11">
        <v>43750</v>
      </c>
      <c r="U66" s="12"/>
      <c r="V66" s="11">
        <v>43620</v>
      </c>
      <c r="W66" s="12"/>
      <c r="X66" s="11"/>
      <c r="Y66" s="12"/>
      <c r="Z66" s="11"/>
      <c r="AA66" s="12"/>
      <c r="AB66" s="11"/>
      <c r="AC66" s="12" t="s">
        <v>393</v>
      </c>
      <c r="AD66" s="34"/>
      <c r="AE66" s="33">
        <f t="shared" si="2"/>
        <v>43617</v>
      </c>
      <c r="AF66" s="33">
        <f t="shared" si="3"/>
        <v>43620</v>
      </c>
      <c r="AG66" s="33">
        <f t="shared" si="4"/>
        <v>43750</v>
      </c>
      <c r="AH66">
        <v>78</v>
      </c>
      <c r="AK66" s="36" t="str">
        <f t="shared" si="5"/>
        <v/>
      </c>
      <c r="AL66" t="str">
        <f t="shared" si="10"/>
        <v/>
      </c>
      <c r="AM66" t="s">
        <v>393</v>
      </c>
      <c r="AN66">
        <f t="shared" si="6"/>
        <v>133</v>
      </c>
      <c r="AO66" t="str">
        <f t="shared" si="7"/>
        <v>1.6.---4.6.---12.10.</v>
      </c>
      <c r="AP66" t="str">
        <f t="shared" si="8"/>
        <v>Suula</v>
      </c>
      <c r="AQ66" t="str">
        <f t="shared" si="11"/>
        <v>(1.6.---4.6.---12.10.)</v>
      </c>
    </row>
    <row r="67" spans="1:43" x14ac:dyDescent="0.2">
      <c r="A67" s="1"/>
      <c r="B67" s="9">
        <f t="shared" si="12"/>
        <v>64</v>
      </c>
      <c r="C67" s="10"/>
      <c r="D67" s="9" t="s">
        <v>63</v>
      </c>
      <c r="E67" s="10"/>
      <c r="F67" s="11">
        <v>43547</v>
      </c>
      <c r="G67" s="12">
        <f>IF(AG1,DATE(2019,1,3),DATE(2019,4,10))</f>
        <v>43565</v>
      </c>
      <c r="H67" s="11">
        <f>IF(AG1,DATE(2019,1,8),DATE(2019,3,25))</f>
        <v>43549</v>
      </c>
      <c r="I67" s="12">
        <f>IF(AG1,DATE(2019,1,1),DATE(2019,3,20))</f>
        <v>43544</v>
      </c>
      <c r="J67" s="11">
        <v>43538</v>
      </c>
      <c r="K67" s="12">
        <f>IF(AG1,DATE(2019,1,4),DATE(2019,3,26))</f>
        <v>43550</v>
      </c>
      <c r="L67" s="11">
        <v>43564</v>
      </c>
      <c r="M67" s="12">
        <f>IF(AG1,DATE(2019,1,4),DATE(2019,3,26))</f>
        <v>43550</v>
      </c>
      <c r="N67" s="11">
        <f>IF(AG1,DATE(2019,1,1),DATE(2019,3,18))</f>
        <v>43542</v>
      </c>
      <c r="O67" s="12">
        <f>IF(AG1,DATE(2019,1,1),DATE(2019,3,22))</f>
        <v>43546</v>
      </c>
      <c r="P67" s="11">
        <f>IF(AG1,DATE(2019,1,4),DATE(2019,3,31))</f>
        <v>43555</v>
      </c>
      <c r="Q67" s="12">
        <f>IF(AG1,DATE(2019,1,20),DATE(2019,4,5))</f>
        <v>43560</v>
      </c>
      <c r="R67" s="11">
        <f>IF(AG1,DATE(2019,1,1),DATE(2019,3,16))</f>
        <v>43540</v>
      </c>
      <c r="S67" s="12">
        <f>IF(AG1,DATE(2019,2,15),DATE(2019,4,9))</f>
        <v>43564</v>
      </c>
      <c r="T67" s="11">
        <f>IF(AG1,DATE(2019,1,2),DATE(2019,3,11))</f>
        <v>43535</v>
      </c>
      <c r="U67" s="12">
        <f>IF(AG1,DATE(2019,1,12),DATE(2019,3,16))</f>
        <v>43540</v>
      </c>
      <c r="V67" s="11">
        <f>IF(AG1,DATE(2019,1,1),DATE(2019,3,2))</f>
        <v>43526</v>
      </c>
      <c r="W67" s="12">
        <f>IF(AG1,DATE(2019,1,7),DATE(2019,3,14))</f>
        <v>43538</v>
      </c>
      <c r="X67" s="11">
        <f>IF(AG1,DATE(2019,1,1),DATE(2019,4,4))</f>
        <v>43559</v>
      </c>
      <c r="Y67" s="12">
        <v>43538</v>
      </c>
      <c r="Z67" s="11">
        <f>IF(AG1,DATE(2019,1,4),DATE(2019,3,10))</f>
        <v>43534</v>
      </c>
      <c r="AA67" s="12">
        <f>IF(AG1,DATE(2019,1,1),DATE(2019,3,24))</f>
        <v>43548</v>
      </c>
      <c r="AB67" s="11">
        <f>IF(AF1,DATE(2019,1,5),DATE(2019,3,16))</f>
        <v>43540</v>
      </c>
      <c r="AC67" s="12">
        <f>IF(AG1,DATE(2019,1,1),DATE(2019,3,4))</f>
        <v>43528</v>
      </c>
      <c r="AD67" s="34"/>
      <c r="AE67" s="33">
        <f t="shared" si="2"/>
        <v>43526</v>
      </c>
      <c r="AF67" s="33">
        <f t="shared" si="3"/>
        <v>43545</v>
      </c>
      <c r="AG67" s="33">
        <f t="shared" si="4"/>
        <v>43565</v>
      </c>
      <c r="AH67">
        <v>79</v>
      </c>
      <c r="AK67" s="36" t="str">
        <f t="shared" si="5"/>
        <v/>
      </c>
      <c r="AL67" t="str">
        <f t="shared" si="10"/>
        <v/>
      </c>
      <c r="AM67">
        <v>17</v>
      </c>
      <c r="AN67">
        <f t="shared" si="6"/>
        <v>39</v>
      </c>
      <c r="AO67" t="str">
        <f t="shared" si="7"/>
        <v>2.3.---21.3.---10.4.</v>
      </c>
      <c r="AP67" t="str">
        <f t="shared" si="8"/>
        <v>Merimetso</v>
      </c>
      <c r="AQ67" t="str">
        <f t="shared" si="11"/>
        <v>(2.3.---21.3.---10.4., 17/21)</v>
      </c>
    </row>
    <row r="68" spans="1:43" x14ac:dyDescent="0.2">
      <c r="A68" s="1"/>
      <c r="B68" s="9">
        <f t="shared" si="12"/>
        <v>65</v>
      </c>
      <c r="C68" s="10"/>
      <c r="D68" s="15" t="s">
        <v>64</v>
      </c>
      <c r="E68" s="16"/>
      <c r="F68" s="11"/>
      <c r="G68" s="12"/>
      <c r="H68" s="11"/>
      <c r="I68" s="12"/>
      <c r="J68" s="11"/>
      <c r="K68" s="12"/>
      <c r="L68" s="11"/>
      <c r="M68" s="12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  <c r="AA68" s="12"/>
      <c r="AB68" s="11"/>
      <c r="AC68" s="12" t="s">
        <v>393</v>
      </c>
      <c r="AD68" s="34"/>
      <c r="AE68" s="33" t="str">
        <f t="shared" ref="AE68:AE131" si="13">IF(SUM(F68:AC68)&gt;0,MIN(F68:AC68),"")</f>
        <v/>
      </c>
      <c r="AF68" s="33" t="str">
        <f t="shared" ref="AF68:AF131" si="14">IF(SUM(F68:AC68)&gt;0,MEDIAN(F68:AC68),"")</f>
        <v/>
      </c>
      <c r="AG68" s="33" t="str">
        <f t="shared" ref="AG68:AG131" si="15">IF(SUM(F68:AC68)&gt;0,MAX(F68:AC68),"")</f>
        <v/>
      </c>
      <c r="AH68">
        <v>82</v>
      </c>
      <c r="AK68" s="36" t="str">
        <f t="shared" ref="AK68:AK131" si="16">IF(AI68&lt;&gt;"",D68 &amp; "x" &amp; TEXT(AE68, "pp.kk.")  &amp; "2019x" &amp; TEXT(Z68, "pp.kk.") &amp; "2019","")</f>
        <v/>
      </c>
      <c r="AL68" t="str">
        <f t="shared" si="10"/>
        <v/>
      </c>
      <c r="AM68" t="s">
        <v>393</v>
      </c>
      <c r="AN68" t="e">
        <f t="shared" ref="AN68:AN131" si="17">AG68-AE68</f>
        <v>#VALUE!</v>
      </c>
      <c r="AO68" t="str">
        <f t="shared" ref="AO68:AO131" si="18">TEXT(AE68, "p.k.")  &amp; "---" &amp; TEXT(AF68, "p.k.")  &amp; "---" &amp; TEXT(AG68, "p.k.")</f>
        <v>------</v>
      </c>
      <c r="AP68" t="str">
        <f t="shared" ref="AP68:AP131" si="19">D68</f>
        <v>Pelikaani</v>
      </c>
      <c r="AQ68" t="str">
        <f t="shared" si="11"/>
        <v>(------)</v>
      </c>
    </row>
    <row r="69" spans="1:43" x14ac:dyDescent="0.2">
      <c r="A69" s="1"/>
      <c r="B69" s="9">
        <f t="shared" ref="B69:B92" si="20">B68+1</f>
        <v>66</v>
      </c>
      <c r="C69" s="10"/>
      <c r="D69" s="9" t="s">
        <v>65</v>
      </c>
      <c r="E69" s="10"/>
      <c r="F69" s="11">
        <v>43574</v>
      </c>
      <c r="G69" s="12">
        <v>43569</v>
      </c>
      <c r="H69" s="11">
        <v>43553</v>
      </c>
      <c r="I69" s="12">
        <v>43574</v>
      </c>
      <c r="J69" s="11">
        <v>43544</v>
      </c>
      <c r="K69" s="12">
        <v>43564</v>
      </c>
      <c r="L69" s="11">
        <v>43561</v>
      </c>
      <c r="M69" s="12">
        <v>43547</v>
      </c>
      <c r="N69" s="11">
        <v>43561</v>
      </c>
      <c r="O69" s="12">
        <v>43580</v>
      </c>
      <c r="P69" s="11">
        <v>43571</v>
      </c>
      <c r="Q69" s="12">
        <v>43572</v>
      </c>
      <c r="R69" s="11">
        <v>43548</v>
      </c>
      <c r="S69" s="12">
        <v>43569</v>
      </c>
      <c r="T69" s="11">
        <v>43552</v>
      </c>
      <c r="U69" s="12">
        <v>43560</v>
      </c>
      <c r="V69" s="11">
        <v>43552</v>
      </c>
      <c r="W69" s="12">
        <v>43561</v>
      </c>
      <c r="X69" s="11">
        <v>43572</v>
      </c>
      <c r="Y69" s="12">
        <v>43568</v>
      </c>
      <c r="Z69" s="11">
        <v>43562</v>
      </c>
      <c r="AA69" s="12">
        <v>43568</v>
      </c>
      <c r="AB69" s="11">
        <v>43556</v>
      </c>
      <c r="AC69" s="12">
        <v>43575</v>
      </c>
      <c r="AD69" s="34"/>
      <c r="AE69" s="33">
        <f t="shared" si="13"/>
        <v>43544</v>
      </c>
      <c r="AF69" s="33">
        <f t="shared" si="14"/>
        <v>43563</v>
      </c>
      <c r="AG69" s="33">
        <f t="shared" si="15"/>
        <v>43580</v>
      </c>
      <c r="AH69">
        <v>83</v>
      </c>
      <c r="AK69" s="36" t="str">
        <f t="shared" si="16"/>
        <v/>
      </c>
      <c r="AL69" t="str">
        <f t="shared" ref="AL69:AL132" si="21">IF(COUNTIF(F69:Z69,"&lt;01.03.2019")&gt;0,COUNTIF(F69:Z69,"&lt;01.03.2019"),"")</f>
        <v/>
      </c>
      <c r="AM69" t="s">
        <v>393</v>
      </c>
      <c r="AN69">
        <f t="shared" si="17"/>
        <v>36</v>
      </c>
      <c r="AO69" t="str">
        <f t="shared" si="18"/>
        <v>20.3.---8.4.---25.4.</v>
      </c>
      <c r="AP69" t="str">
        <f t="shared" si="19"/>
        <v>Kaulushaikara</v>
      </c>
      <c r="AQ69" t="str">
        <f t="shared" ref="AQ69:AQ132" si="22">IF(AND(AM69&gt;0,AM69&lt;&gt;""),"(" &amp;AO69 &amp; ", " &amp; AM69 &amp; "/21)","(" &amp; AO69 &amp; ")")</f>
        <v>(20.3.---8.4.---25.4.)</v>
      </c>
    </row>
    <row r="70" spans="1:43" x14ac:dyDescent="0.2">
      <c r="A70" s="27"/>
      <c r="B70" s="9">
        <f t="shared" si="20"/>
        <v>67</v>
      </c>
      <c r="C70" s="10"/>
      <c r="D70" s="15" t="s">
        <v>385</v>
      </c>
      <c r="E70" s="16"/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12"/>
      <c r="R70" s="11"/>
      <c r="S70" s="12"/>
      <c r="T70" s="11"/>
      <c r="U70" s="12"/>
      <c r="V70" s="11"/>
      <c r="W70" s="12"/>
      <c r="X70" s="11"/>
      <c r="Y70" s="12">
        <v>43748</v>
      </c>
      <c r="Z70" s="11"/>
      <c r="AA70" s="12"/>
      <c r="AB70" s="11"/>
      <c r="AC70" s="12" t="s">
        <v>393</v>
      </c>
      <c r="AD70" s="34"/>
      <c r="AE70" s="33">
        <f t="shared" si="13"/>
        <v>43748</v>
      </c>
      <c r="AF70" s="33">
        <f t="shared" si="14"/>
        <v>43748</v>
      </c>
      <c r="AG70" s="33">
        <f t="shared" si="15"/>
        <v>43748</v>
      </c>
      <c r="AH70">
        <v>86.299999999999983</v>
      </c>
      <c r="AK70" s="36" t="str">
        <f t="shared" si="16"/>
        <v/>
      </c>
      <c r="AL70" t="str">
        <f t="shared" si="21"/>
        <v/>
      </c>
      <c r="AM70" t="s">
        <v>393</v>
      </c>
      <c r="AN70">
        <f t="shared" si="17"/>
        <v>0</v>
      </c>
      <c r="AO70" t="str">
        <f t="shared" si="18"/>
        <v>10.10.---10.10.---10.10.</v>
      </c>
      <c r="AP70" t="str">
        <f t="shared" si="19"/>
        <v>Rääkkähaikaralaji</v>
      </c>
      <c r="AQ70" t="str">
        <f t="shared" si="22"/>
        <v>(10.10.---10.10.---10.10.)</v>
      </c>
    </row>
    <row r="71" spans="1:43" x14ac:dyDescent="0.2">
      <c r="A71" s="27"/>
      <c r="B71" s="9">
        <f t="shared" si="20"/>
        <v>68</v>
      </c>
      <c r="C71" s="10"/>
      <c r="D71" s="15" t="s">
        <v>386</v>
      </c>
      <c r="E71" s="16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11"/>
      <c r="Q71" s="12"/>
      <c r="R71" s="11"/>
      <c r="S71" s="12"/>
      <c r="T71" s="11"/>
      <c r="U71" s="12"/>
      <c r="V71" s="11"/>
      <c r="W71" s="12"/>
      <c r="X71" s="11"/>
      <c r="Y71" s="12"/>
      <c r="Z71" s="11"/>
      <c r="AA71" s="12">
        <v>43606</v>
      </c>
      <c r="AB71" s="11"/>
      <c r="AC71" s="12" t="s">
        <v>393</v>
      </c>
      <c r="AD71" s="34"/>
      <c r="AE71" s="33">
        <f t="shared" si="13"/>
        <v>43606</v>
      </c>
      <c r="AF71" s="33">
        <f t="shared" si="14"/>
        <v>43606</v>
      </c>
      <c r="AG71" s="33">
        <f t="shared" si="15"/>
        <v>43606</v>
      </c>
      <c r="AH71">
        <v>87</v>
      </c>
      <c r="AK71" s="36" t="str">
        <f t="shared" si="16"/>
        <v/>
      </c>
      <c r="AL71" t="str">
        <f t="shared" si="21"/>
        <v/>
      </c>
      <c r="AM71" t="s">
        <v>393</v>
      </c>
      <c r="AN71">
        <f t="shared" si="17"/>
        <v>0</v>
      </c>
      <c r="AO71" t="str">
        <f t="shared" si="18"/>
        <v>21.5.---21.5.---21.5.</v>
      </c>
      <c r="AP71" t="str">
        <f t="shared" si="19"/>
        <v>Lehmähaikara</v>
      </c>
      <c r="AQ71" t="str">
        <f t="shared" si="22"/>
        <v>(21.5.---21.5.---21.5.)</v>
      </c>
    </row>
    <row r="72" spans="1:43" x14ac:dyDescent="0.2">
      <c r="A72" s="1"/>
      <c r="B72" s="9">
        <f t="shared" si="20"/>
        <v>69</v>
      </c>
      <c r="C72" s="10"/>
      <c r="D72" s="15" t="s">
        <v>66</v>
      </c>
      <c r="E72" s="16"/>
      <c r="F72" s="11"/>
      <c r="G72" s="12"/>
      <c r="H72" s="11"/>
      <c r="I72" s="12"/>
      <c r="J72" s="11"/>
      <c r="K72" s="12"/>
      <c r="L72" s="11"/>
      <c r="M72" s="12"/>
      <c r="N72" s="11"/>
      <c r="O72" s="12"/>
      <c r="P72" s="11"/>
      <c r="Q72" s="12"/>
      <c r="R72" s="11"/>
      <c r="S72" s="12"/>
      <c r="T72" s="11"/>
      <c r="U72" s="12">
        <v>43593</v>
      </c>
      <c r="V72" s="11"/>
      <c r="W72" s="12"/>
      <c r="X72" s="11"/>
      <c r="Y72" s="12"/>
      <c r="Z72" s="11"/>
      <c r="AA72" s="12"/>
      <c r="AB72" s="11"/>
      <c r="AC72" s="12" t="s">
        <v>393</v>
      </c>
      <c r="AD72" s="34"/>
      <c r="AE72" s="33">
        <f t="shared" si="13"/>
        <v>43593</v>
      </c>
      <c r="AF72" s="33">
        <f t="shared" si="14"/>
        <v>43593</v>
      </c>
      <c r="AG72" s="33">
        <f t="shared" si="15"/>
        <v>43593</v>
      </c>
      <c r="AH72">
        <v>88</v>
      </c>
      <c r="AK72" s="36" t="str">
        <f t="shared" si="16"/>
        <v/>
      </c>
      <c r="AL72" t="str">
        <f t="shared" si="21"/>
        <v/>
      </c>
      <c r="AM72" t="s">
        <v>393</v>
      </c>
      <c r="AN72">
        <f t="shared" si="17"/>
        <v>0</v>
      </c>
      <c r="AO72" t="str">
        <f t="shared" si="18"/>
        <v>8.5.---8.5.---8.5.</v>
      </c>
      <c r="AP72" t="str">
        <f t="shared" si="19"/>
        <v>Silkkihaikara</v>
      </c>
      <c r="AQ72" t="str">
        <f t="shared" si="22"/>
        <v>(8.5.---8.5.---8.5.)</v>
      </c>
    </row>
    <row r="73" spans="1:43" x14ac:dyDescent="0.2">
      <c r="A73" s="1"/>
      <c r="B73" s="9">
        <f t="shared" si="20"/>
        <v>70</v>
      </c>
      <c r="C73" s="10"/>
      <c r="D73" s="13" t="s">
        <v>67</v>
      </c>
      <c r="E73" s="14"/>
      <c r="F73" s="11"/>
      <c r="G73" s="12"/>
      <c r="H73" s="11"/>
      <c r="I73" s="12"/>
      <c r="J73" s="11">
        <v>43685</v>
      </c>
      <c r="K73" s="12">
        <v>43633</v>
      </c>
      <c r="L73" s="11">
        <v>43585</v>
      </c>
      <c r="M73" s="12">
        <f>IF(AG1,DATE(2019,1,1),DATE(2019,5,28))</f>
        <v>43613</v>
      </c>
      <c r="N73" s="11"/>
      <c r="O73" s="12">
        <v>43563</v>
      </c>
      <c r="P73" s="11">
        <v>43601</v>
      </c>
      <c r="Q73" s="12">
        <v>43600</v>
      </c>
      <c r="R73" s="11">
        <v>43598</v>
      </c>
      <c r="S73" s="12">
        <v>43622</v>
      </c>
      <c r="T73" s="11">
        <v>43610</v>
      </c>
      <c r="U73" s="12">
        <v>43586</v>
      </c>
      <c r="V73" s="11">
        <v>43553</v>
      </c>
      <c r="W73" s="12">
        <v>43613</v>
      </c>
      <c r="X73" s="11">
        <v>43590</v>
      </c>
      <c r="Y73" s="12">
        <f>IF(AG1,DATE(2019,1,2),DATE(2019,6,9))</f>
        <v>43625</v>
      </c>
      <c r="Z73" s="11">
        <v>43578</v>
      </c>
      <c r="AA73" s="12">
        <v>43521</v>
      </c>
      <c r="AB73" s="11">
        <v>43544</v>
      </c>
      <c r="AC73" s="12">
        <v>43575</v>
      </c>
      <c r="AD73" s="34"/>
      <c r="AE73" s="33">
        <f t="shared" si="13"/>
        <v>43521</v>
      </c>
      <c r="AF73" s="33">
        <f t="shared" si="14"/>
        <v>43598</v>
      </c>
      <c r="AG73" s="33">
        <f t="shared" si="15"/>
        <v>43685</v>
      </c>
      <c r="AH73">
        <v>89</v>
      </c>
      <c r="AK73" s="36" t="str">
        <f t="shared" si="16"/>
        <v/>
      </c>
      <c r="AL73" t="str">
        <f t="shared" si="21"/>
        <v/>
      </c>
      <c r="AM73">
        <v>2</v>
      </c>
      <c r="AN73">
        <f t="shared" si="17"/>
        <v>164</v>
      </c>
      <c r="AO73" t="str">
        <f t="shared" si="18"/>
        <v>25.2.---13.5.---8.8.</v>
      </c>
      <c r="AP73" t="str">
        <f t="shared" si="19"/>
        <v>Jalohaikara</v>
      </c>
      <c r="AQ73" t="str">
        <f t="shared" si="22"/>
        <v>(25.2.---13.5.---8.8., 2/21)</v>
      </c>
    </row>
    <row r="74" spans="1:43" x14ac:dyDescent="0.2">
      <c r="A74" s="1"/>
      <c r="B74" s="9">
        <f t="shared" si="20"/>
        <v>71</v>
      </c>
      <c r="C74" s="10"/>
      <c r="D74" s="9" t="s">
        <v>68</v>
      </c>
      <c r="E74" s="10"/>
      <c r="F74" s="11">
        <v>43555</v>
      </c>
      <c r="G74" s="12">
        <v>43566</v>
      </c>
      <c r="H74" s="11">
        <v>43557</v>
      </c>
      <c r="I74" s="12">
        <v>43571</v>
      </c>
      <c r="J74" s="11">
        <f>IF(AG1,DATE(2019,1,1),DATE(2019,4,10))</f>
        <v>43565</v>
      </c>
      <c r="K74" s="12">
        <v>43564</v>
      </c>
      <c r="L74" s="11">
        <v>43568</v>
      </c>
      <c r="M74" s="12">
        <v>43567</v>
      </c>
      <c r="N74" s="11">
        <v>43570</v>
      </c>
      <c r="O74" s="12">
        <v>43560</v>
      </c>
      <c r="P74" s="11">
        <v>43566</v>
      </c>
      <c r="Q74" s="12">
        <v>43558</v>
      </c>
      <c r="R74" s="11">
        <v>43567</v>
      </c>
      <c r="S74" s="12">
        <v>43572</v>
      </c>
      <c r="T74" s="11">
        <v>43569</v>
      </c>
      <c r="U74" s="12">
        <v>43543</v>
      </c>
      <c r="V74" s="11">
        <v>43566</v>
      </c>
      <c r="W74" s="12">
        <v>43564</v>
      </c>
      <c r="X74" s="11">
        <v>43576</v>
      </c>
      <c r="Y74" s="12">
        <v>43561</v>
      </c>
      <c r="Z74" s="11">
        <v>43567</v>
      </c>
      <c r="AA74" s="12">
        <f>IF(AG1,DATE(2019,1,12),DATE(2019,4,8))</f>
        <v>43563</v>
      </c>
      <c r="AB74" s="11">
        <v>43551</v>
      </c>
      <c r="AC74" s="12">
        <v>43560</v>
      </c>
      <c r="AD74" s="34"/>
      <c r="AE74" s="33">
        <f t="shared" si="13"/>
        <v>43543</v>
      </c>
      <c r="AF74" s="33">
        <f t="shared" si="14"/>
        <v>43565.5</v>
      </c>
      <c r="AG74" s="33">
        <f t="shared" si="15"/>
        <v>43576</v>
      </c>
      <c r="AH74">
        <v>90</v>
      </c>
      <c r="AK74" s="36" t="str">
        <f t="shared" si="16"/>
        <v/>
      </c>
      <c r="AL74" t="str">
        <f t="shared" si="21"/>
        <v/>
      </c>
      <c r="AM74">
        <v>1</v>
      </c>
      <c r="AN74">
        <f t="shared" si="17"/>
        <v>33</v>
      </c>
      <c r="AO74" t="str">
        <f t="shared" si="18"/>
        <v>19.3.---10.4.---21.4.</v>
      </c>
      <c r="AP74" t="str">
        <f t="shared" si="19"/>
        <v>Harmaahaikara</v>
      </c>
      <c r="AQ74" t="str">
        <f t="shared" si="22"/>
        <v>(19.3.---10.4.---21.4., 1/21)</v>
      </c>
    </row>
    <row r="75" spans="1:43" x14ac:dyDescent="0.2">
      <c r="A75" s="1"/>
      <c r="B75" s="9">
        <f t="shared" si="20"/>
        <v>72</v>
      </c>
      <c r="C75" s="10"/>
      <c r="D75" s="13" t="s">
        <v>69</v>
      </c>
      <c r="E75" s="14"/>
      <c r="F75" s="11"/>
      <c r="G75" s="12"/>
      <c r="H75" s="11"/>
      <c r="I75" s="12">
        <v>43625</v>
      </c>
      <c r="J75" s="11"/>
      <c r="K75" s="12"/>
      <c r="L75" s="11"/>
      <c r="M75" s="12"/>
      <c r="N75" s="11"/>
      <c r="O75" s="12"/>
      <c r="P75" s="11"/>
      <c r="Q75" s="12"/>
      <c r="R75" s="11"/>
      <c r="S75" s="12"/>
      <c r="T75" s="11"/>
      <c r="U75" s="12"/>
      <c r="V75" s="11"/>
      <c r="W75" s="12"/>
      <c r="X75" s="11"/>
      <c r="Y75" s="12"/>
      <c r="Z75" s="11"/>
      <c r="AA75" s="12"/>
      <c r="AB75" s="11"/>
      <c r="AC75" s="12" t="s">
        <v>393</v>
      </c>
      <c r="AD75" s="34"/>
      <c r="AE75" s="33">
        <f t="shared" si="13"/>
        <v>43625</v>
      </c>
      <c r="AF75" s="33">
        <f t="shared" si="14"/>
        <v>43625</v>
      </c>
      <c r="AG75" s="33">
        <f t="shared" si="15"/>
        <v>43625</v>
      </c>
      <c r="AH75">
        <v>92</v>
      </c>
      <c r="AK75" s="36" t="str">
        <f t="shared" si="16"/>
        <v/>
      </c>
      <c r="AL75" t="str">
        <f t="shared" si="21"/>
        <v/>
      </c>
      <c r="AM75" t="s">
        <v>393</v>
      </c>
      <c r="AN75">
        <f t="shared" si="17"/>
        <v>0</v>
      </c>
      <c r="AO75" t="str">
        <f t="shared" si="18"/>
        <v>9.6.---9.6.---9.6.</v>
      </c>
      <c r="AP75" t="str">
        <f t="shared" si="19"/>
        <v>Mustahaikara</v>
      </c>
      <c r="AQ75" t="str">
        <f t="shared" si="22"/>
        <v>(9.6.---9.6.---9.6.)</v>
      </c>
    </row>
    <row r="76" spans="1:43" x14ac:dyDescent="0.2">
      <c r="A76" s="1"/>
      <c r="B76" s="9">
        <f t="shared" si="20"/>
        <v>73</v>
      </c>
      <c r="C76" s="10"/>
      <c r="D76" s="9" t="s">
        <v>70</v>
      </c>
      <c r="E76" s="10"/>
      <c r="F76" s="11"/>
      <c r="G76" s="12"/>
      <c r="H76" s="11"/>
      <c r="I76" s="12">
        <v>43598</v>
      </c>
      <c r="J76" s="11">
        <v>43590</v>
      </c>
      <c r="K76" s="12">
        <v>43612</v>
      </c>
      <c r="L76" s="11">
        <v>43612</v>
      </c>
      <c r="M76" s="12">
        <v>43589</v>
      </c>
      <c r="N76" s="11">
        <v>43582</v>
      </c>
      <c r="O76" s="12">
        <v>43583</v>
      </c>
      <c r="P76" s="11">
        <v>43573</v>
      </c>
      <c r="Q76" s="12">
        <v>43606</v>
      </c>
      <c r="R76" s="11"/>
      <c r="S76" s="12">
        <v>43585</v>
      </c>
      <c r="T76" s="11">
        <v>43580</v>
      </c>
      <c r="U76" s="12"/>
      <c r="V76" s="11"/>
      <c r="W76" s="12"/>
      <c r="X76" s="11"/>
      <c r="Y76" s="12"/>
      <c r="Z76" s="11">
        <v>43584</v>
      </c>
      <c r="AA76" s="12">
        <v>43599</v>
      </c>
      <c r="AB76" s="11">
        <v>43611</v>
      </c>
      <c r="AC76" s="12">
        <v>43586</v>
      </c>
      <c r="AD76" s="34"/>
      <c r="AE76" s="33">
        <f t="shared" si="13"/>
        <v>43573</v>
      </c>
      <c r="AF76" s="33">
        <f t="shared" si="14"/>
        <v>43589</v>
      </c>
      <c r="AG76" s="33">
        <f t="shared" si="15"/>
        <v>43612</v>
      </c>
      <c r="AH76">
        <v>93</v>
      </c>
      <c r="AK76" s="36" t="str">
        <f t="shared" si="16"/>
        <v/>
      </c>
      <c r="AL76" t="str">
        <f t="shared" si="21"/>
        <v/>
      </c>
      <c r="AM76" t="s">
        <v>393</v>
      </c>
      <c r="AN76">
        <f t="shared" si="17"/>
        <v>39</v>
      </c>
      <c r="AO76" t="str">
        <f t="shared" si="18"/>
        <v>18.4.---4.5.---27.5.</v>
      </c>
      <c r="AP76" t="str">
        <f t="shared" si="19"/>
        <v>Kattohaikara</v>
      </c>
      <c r="AQ76" t="str">
        <f t="shared" si="22"/>
        <v>(18.4.---4.5.---27.5.)</v>
      </c>
    </row>
    <row r="77" spans="1:43" x14ac:dyDescent="0.2">
      <c r="A77" s="1"/>
      <c r="B77" s="9">
        <f t="shared" si="20"/>
        <v>74</v>
      </c>
      <c r="C77" s="10"/>
      <c r="D77" s="15" t="s">
        <v>71</v>
      </c>
      <c r="E77" s="16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1"/>
      <c r="Q77" s="12"/>
      <c r="R77" s="11"/>
      <c r="S77" s="12"/>
      <c r="T77" s="11"/>
      <c r="U77" s="12"/>
      <c r="V77" s="11"/>
      <c r="W77" s="12"/>
      <c r="X77" s="11"/>
      <c r="Y77" s="12"/>
      <c r="Z77" s="11"/>
      <c r="AA77" s="12"/>
      <c r="AB77" s="11"/>
      <c r="AC77" s="12" t="s">
        <v>393</v>
      </c>
      <c r="AD77" s="34"/>
      <c r="AE77" s="33" t="str">
        <f t="shared" si="13"/>
        <v/>
      </c>
      <c r="AF77" s="33" t="str">
        <f t="shared" si="14"/>
        <v/>
      </c>
      <c r="AG77" s="33" t="str">
        <f t="shared" si="15"/>
        <v/>
      </c>
      <c r="AH77">
        <v>94</v>
      </c>
      <c r="AK77" s="36" t="str">
        <f t="shared" si="16"/>
        <v/>
      </c>
      <c r="AL77" t="str">
        <f t="shared" si="21"/>
        <v/>
      </c>
      <c r="AM77" t="s">
        <v>393</v>
      </c>
      <c r="AN77" t="e">
        <f t="shared" si="17"/>
        <v>#VALUE!</v>
      </c>
      <c r="AO77" t="str">
        <f t="shared" si="18"/>
        <v>------</v>
      </c>
      <c r="AP77" t="str">
        <f t="shared" si="19"/>
        <v>Pronssi-iibis</v>
      </c>
      <c r="AQ77" t="str">
        <f t="shared" si="22"/>
        <v>(------)</v>
      </c>
    </row>
    <row r="78" spans="1:43" x14ac:dyDescent="0.2">
      <c r="A78" s="1"/>
      <c r="B78" s="9">
        <f t="shared" si="20"/>
        <v>75</v>
      </c>
      <c r="C78" s="10"/>
      <c r="D78" s="15" t="s">
        <v>72</v>
      </c>
      <c r="E78" s="16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12"/>
      <c r="R78" s="11"/>
      <c r="S78" s="12"/>
      <c r="T78" s="11"/>
      <c r="U78" s="12"/>
      <c r="V78" s="11"/>
      <c r="W78" s="12"/>
      <c r="X78" s="11"/>
      <c r="Y78" s="12"/>
      <c r="Z78" s="11"/>
      <c r="AA78" s="12"/>
      <c r="AB78" s="11"/>
      <c r="AC78" s="12" t="s">
        <v>393</v>
      </c>
      <c r="AD78" s="34"/>
      <c r="AE78" s="33" t="str">
        <f t="shared" si="13"/>
        <v/>
      </c>
      <c r="AF78" s="33" t="str">
        <f t="shared" si="14"/>
        <v/>
      </c>
      <c r="AG78" s="33" t="str">
        <f t="shared" si="15"/>
        <v/>
      </c>
      <c r="AH78">
        <v>95</v>
      </c>
      <c r="AK78" s="36" t="str">
        <f t="shared" si="16"/>
        <v/>
      </c>
      <c r="AL78" t="str">
        <f t="shared" si="21"/>
        <v/>
      </c>
      <c r="AM78" t="s">
        <v>393</v>
      </c>
      <c r="AN78" t="e">
        <f t="shared" si="17"/>
        <v>#VALUE!</v>
      </c>
      <c r="AO78" t="str">
        <f t="shared" si="18"/>
        <v>------</v>
      </c>
      <c r="AP78" t="str">
        <f t="shared" si="19"/>
        <v>Kapustahaikara</v>
      </c>
      <c r="AQ78" t="str">
        <f t="shared" si="22"/>
        <v>(------)</v>
      </c>
    </row>
    <row r="79" spans="1:43" x14ac:dyDescent="0.2">
      <c r="A79" s="1"/>
      <c r="B79" s="9">
        <f t="shared" si="20"/>
        <v>76</v>
      </c>
      <c r="C79" s="10"/>
      <c r="D79" s="9" t="s">
        <v>73</v>
      </c>
      <c r="E79" s="10"/>
      <c r="F79" s="11">
        <v>43577</v>
      </c>
      <c r="G79" s="12">
        <v>43599</v>
      </c>
      <c r="H79" s="11">
        <v>43611</v>
      </c>
      <c r="I79" s="12">
        <v>43598</v>
      </c>
      <c r="J79" s="11">
        <v>43592</v>
      </c>
      <c r="K79" s="12">
        <v>43602</v>
      </c>
      <c r="L79" s="11">
        <v>43591</v>
      </c>
      <c r="M79" s="12">
        <v>43605</v>
      </c>
      <c r="N79" s="11">
        <v>43585</v>
      </c>
      <c r="O79" s="12">
        <v>43586</v>
      </c>
      <c r="P79" s="11">
        <v>43600</v>
      </c>
      <c r="Q79" s="12">
        <v>43596</v>
      </c>
      <c r="R79" s="11">
        <v>43598</v>
      </c>
      <c r="S79" s="12">
        <v>43591</v>
      </c>
      <c r="T79" s="11">
        <v>43587</v>
      </c>
      <c r="U79" s="12">
        <v>43592</v>
      </c>
      <c r="V79" s="11">
        <v>43599</v>
      </c>
      <c r="W79" s="12">
        <v>43603</v>
      </c>
      <c r="X79" s="11">
        <v>43592</v>
      </c>
      <c r="Y79" s="12">
        <v>43601</v>
      </c>
      <c r="Z79" s="11">
        <v>43604</v>
      </c>
      <c r="AA79" s="12">
        <v>43601</v>
      </c>
      <c r="AB79" s="11">
        <v>43601</v>
      </c>
      <c r="AC79" s="12">
        <v>43590</v>
      </c>
      <c r="AD79" s="34"/>
      <c r="AE79" s="33">
        <f t="shared" si="13"/>
        <v>43577</v>
      </c>
      <c r="AF79" s="33">
        <f t="shared" si="14"/>
        <v>43598</v>
      </c>
      <c r="AG79" s="33">
        <f t="shared" si="15"/>
        <v>43611</v>
      </c>
      <c r="AH79">
        <v>96</v>
      </c>
      <c r="AK79" s="36" t="str">
        <f t="shared" si="16"/>
        <v/>
      </c>
      <c r="AL79" t="str">
        <f t="shared" si="21"/>
        <v/>
      </c>
      <c r="AM79" t="s">
        <v>393</v>
      </c>
      <c r="AN79">
        <f t="shared" si="17"/>
        <v>34</v>
      </c>
      <c r="AO79" t="str">
        <f t="shared" si="18"/>
        <v>22.4.---13.5.---26.5.</v>
      </c>
      <c r="AP79" t="str">
        <f t="shared" si="19"/>
        <v>Mehiläishaukka</v>
      </c>
      <c r="AQ79" t="str">
        <f t="shared" si="22"/>
        <v>(22.4.---13.5.---26.5.)</v>
      </c>
    </row>
    <row r="80" spans="1:43" x14ac:dyDescent="0.2">
      <c r="A80" s="1"/>
      <c r="B80" s="9">
        <f t="shared" si="20"/>
        <v>77</v>
      </c>
      <c r="C80" s="10"/>
      <c r="D80" s="9" t="s">
        <v>74</v>
      </c>
      <c r="E80" s="10"/>
      <c r="F80" s="11"/>
      <c r="G80" s="12"/>
      <c r="H80" s="11"/>
      <c r="I80" s="12">
        <v>43575</v>
      </c>
      <c r="J80" s="11">
        <v>43576</v>
      </c>
      <c r="K80" s="12">
        <v>43590</v>
      </c>
      <c r="L80" s="11">
        <v>43570</v>
      </c>
      <c r="M80" s="12">
        <v>43590</v>
      </c>
      <c r="N80" s="11">
        <v>43577</v>
      </c>
      <c r="O80" s="12">
        <v>43564</v>
      </c>
      <c r="P80" s="11">
        <v>43570</v>
      </c>
      <c r="Q80" s="12">
        <v>43576</v>
      </c>
      <c r="R80" s="11">
        <v>43574</v>
      </c>
      <c r="S80" s="12">
        <v>43577</v>
      </c>
      <c r="T80" s="11">
        <v>43571</v>
      </c>
      <c r="U80" s="12">
        <v>43574</v>
      </c>
      <c r="V80" s="11">
        <v>43571</v>
      </c>
      <c r="W80" s="12">
        <v>43573</v>
      </c>
      <c r="X80" s="11">
        <v>43580</v>
      </c>
      <c r="Y80" s="12">
        <v>43575</v>
      </c>
      <c r="Z80" s="11">
        <v>43570</v>
      </c>
      <c r="AA80" s="12">
        <v>43551</v>
      </c>
      <c r="AB80" s="11">
        <v>43576</v>
      </c>
      <c r="AC80" s="12">
        <v>43578</v>
      </c>
      <c r="AD80" s="34"/>
      <c r="AE80" s="33">
        <f t="shared" si="13"/>
        <v>43551</v>
      </c>
      <c r="AF80" s="33">
        <f t="shared" si="14"/>
        <v>43575</v>
      </c>
      <c r="AG80" s="33">
        <f t="shared" si="15"/>
        <v>43590</v>
      </c>
      <c r="AH80">
        <v>97</v>
      </c>
      <c r="AK80" s="36" t="str">
        <f t="shared" si="16"/>
        <v/>
      </c>
      <c r="AL80" t="str">
        <f t="shared" si="21"/>
        <v/>
      </c>
      <c r="AM80" t="s">
        <v>393</v>
      </c>
      <c r="AN80">
        <f t="shared" si="17"/>
        <v>39</v>
      </c>
      <c r="AO80" t="str">
        <f t="shared" si="18"/>
        <v>27.3.---20.4.---5.5.</v>
      </c>
      <c r="AP80" t="str">
        <f t="shared" si="19"/>
        <v>Haarahaukka</v>
      </c>
      <c r="AQ80" t="str">
        <f t="shared" si="22"/>
        <v>(27.3.---20.4.---5.5.)</v>
      </c>
    </row>
    <row r="81" spans="1:43" x14ac:dyDescent="0.2">
      <c r="A81" s="1"/>
      <c r="B81" s="9">
        <f t="shared" si="20"/>
        <v>78</v>
      </c>
      <c r="C81" s="10"/>
      <c r="D81" s="15" t="s">
        <v>75</v>
      </c>
      <c r="E81" s="16"/>
      <c r="F81" s="11"/>
      <c r="G81" s="12"/>
      <c r="H81" s="11"/>
      <c r="I81" s="12"/>
      <c r="J81" s="11">
        <v>43590</v>
      </c>
      <c r="K81" s="12"/>
      <c r="L81" s="11"/>
      <c r="M81" s="12"/>
      <c r="N81" s="11"/>
      <c r="O81" s="12"/>
      <c r="P81" s="11"/>
      <c r="Q81" s="12">
        <v>43583</v>
      </c>
      <c r="R81" s="11"/>
      <c r="S81" s="12"/>
      <c r="T81" s="11"/>
      <c r="U81" s="12"/>
      <c r="V81" s="11"/>
      <c r="W81" s="12"/>
      <c r="X81" s="11"/>
      <c r="Y81" s="12"/>
      <c r="Z81" s="11"/>
      <c r="AA81" s="12"/>
      <c r="AB81" s="11">
        <v>43580</v>
      </c>
      <c r="AC81" s="12">
        <v>43609</v>
      </c>
      <c r="AD81" s="34"/>
      <c r="AE81" s="33">
        <f t="shared" si="13"/>
        <v>43580</v>
      </c>
      <c r="AF81" s="33">
        <f t="shared" si="14"/>
        <v>43586.5</v>
      </c>
      <c r="AG81" s="33">
        <f t="shared" si="15"/>
        <v>43609</v>
      </c>
      <c r="AH81">
        <v>98</v>
      </c>
      <c r="AK81" s="36" t="str">
        <f t="shared" si="16"/>
        <v/>
      </c>
      <c r="AL81" t="str">
        <f t="shared" si="21"/>
        <v/>
      </c>
      <c r="AM81" t="s">
        <v>393</v>
      </c>
      <c r="AN81">
        <f t="shared" si="17"/>
        <v>29</v>
      </c>
      <c r="AO81" t="str">
        <f t="shared" si="18"/>
        <v>25.4.---1.5.---24.5.</v>
      </c>
      <c r="AP81" t="str">
        <f t="shared" si="19"/>
        <v>Isohaarahaukka</v>
      </c>
      <c r="AQ81" t="str">
        <f t="shared" si="22"/>
        <v>(25.4.---1.5.---24.5.)</v>
      </c>
    </row>
    <row r="82" spans="1:43" x14ac:dyDescent="0.2">
      <c r="A82" s="1"/>
      <c r="B82" s="9">
        <f t="shared" si="20"/>
        <v>79</v>
      </c>
      <c r="C82" s="10"/>
      <c r="D82" s="9" t="s">
        <v>76</v>
      </c>
      <c r="E82" s="10"/>
      <c r="F82" s="11">
        <v>43518</v>
      </c>
      <c r="G82" s="12">
        <v>43468</v>
      </c>
      <c r="H82" s="11">
        <v>43466</v>
      </c>
      <c r="I82" s="12">
        <v>43516</v>
      </c>
      <c r="J82" s="11">
        <v>43472</v>
      </c>
      <c r="K82" s="12">
        <v>43466</v>
      </c>
      <c r="L82" s="11">
        <v>43466</v>
      </c>
      <c r="M82" s="12">
        <v>43466</v>
      </c>
      <c r="N82" s="11">
        <v>43466</v>
      </c>
      <c r="O82" s="12">
        <v>43466</v>
      </c>
      <c r="P82" s="11">
        <v>43468</v>
      </c>
      <c r="Q82" s="12">
        <v>43468</v>
      </c>
      <c r="R82" s="11">
        <v>43466</v>
      </c>
      <c r="S82" s="12">
        <v>43466</v>
      </c>
      <c r="T82" s="11">
        <v>43466</v>
      </c>
      <c r="U82" s="12">
        <v>43466</v>
      </c>
      <c r="V82" s="11">
        <v>43466</v>
      </c>
      <c r="W82" s="12">
        <v>43466</v>
      </c>
      <c r="X82" s="11">
        <v>43466</v>
      </c>
      <c r="Y82" s="12">
        <v>43466</v>
      </c>
      <c r="Z82" s="11">
        <v>43466</v>
      </c>
      <c r="AA82" s="12">
        <v>43466</v>
      </c>
      <c r="AB82" s="11">
        <v>43466</v>
      </c>
      <c r="AC82" s="12">
        <v>43466</v>
      </c>
      <c r="AD82" s="34"/>
      <c r="AE82" s="33">
        <f t="shared" si="13"/>
        <v>43466</v>
      </c>
      <c r="AF82" s="33">
        <f t="shared" si="14"/>
        <v>43466</v>
      </c>
      <c r="AG82" s="33">
        <f t="shared" si="15"/>
        <v>43518</v>
      </c>
      <c r="AH82">
        <v>100</v>
      </c>
      <c r="AK82" s="36" t="str">
        <f t="shared" si="16"/>
        <v/>
      </c>
      <c r="AL82">
        <f t="shared" si="21"/>
        <v>21</v>
      </c>
      <c r="AM82">
        <v>21</v>
      </c>
      <c r="AN82">
        <f t="shared" si="17"/>
        <v>52</v>
      </c>
      <c r="AO82" t="str">
        <f t="shared" si="18"/>
        <v>1.1.---1.1.---22.2.</v>
      </c>
      <c r="AP82" t="str">
        <f t="shared" si="19"/>
        <v>Merikotka</v>
      </c>
      <c r="AQ82" t="str">
        <f t="shared" si="22"/>
        <v>(1.1.---1.1.---22.2., 21/21)</v>
      </c>
    </row>
    <row r="83" spans="1:43" x14ac:dyDescent="0.2">
      <c r="A83" s="1"/>
      <c r="B83" s="9">
        <f t="shared" si="20"/>
        <v>80</v>
      </c>
      <c r="D83" s="17" t="s">
        <v>77</v>
      </c>
      <c r="E83" s="10"/>
      <c r="F83" s="11"/>
      <c r="G83" s="12"/>
      <c r="H83" s="11"/>
      <c r="I83" s="12"/>
      <c r="J83" s="11"/>
      <c r="K83" s="12"/>
      <c r="L83" s="11"/>
      <c r="M83" s="12"/>
      <c r="N83" s="11"/>
      <c r="O83" s="12"/>
      <c r="P83" s="11"/>
      <c r="Q83" s="12"/>
      <c r="R83" s="11"/>
      <c r="S83" s="12"/>
      <c r="T83" s="11"/>
      <c r="U83" s="12"/>
      <c r="V83" s="11"/>
      <c r="W83" s="12"/>
      <c r="X83" s="11">
        <v>43726</v>
      </c>
      <c r="Y83" s="12"/>
      <c r="Z83" s="11"/>
      <c r="AA83" s="12"/>
      <c r="AB83" s="11"/>
      <c r="AC83" s="12" t="s">
        <v>393</v>
      </c>
      <c r="AD83" s="34"/>
      <c r="AE83" s="33">
        <f t="shared" si="13"/>
        <v>43726</v>
      </c>
      <c r="AF83" s="33">
        <f t="shared" si="14"/>
        <v>43726</v>
      </c>
      <c r="AG83" s="33">
        <f t="shared" si="15"/>
        <v>43726</v>
      </c>
      <c r="AH83">
        <v>103</v>
      </c>
      <c r="AK83" s="36" t="str">
        <f t="shared" si="16"/>
        <v/>
      </c>
      <c r="AL83" t="str">
        <f t="shared" si="21"/>
        <v/>
      </c>
      <c r="AM83" t="s">
        <v>393</v>
      </c>
      <c r="AN83">
        <f t="shared" si="17"/>
        <v>0</v>
      </c>
      <c r="AO83" t="str">
        <f t="shared" si="18"/>
        <v>18.9.---18.9.---18.9.</v>
      </c>
      <c r="AP83" t="str">
        <f t="shared" si="19"/>
        <v>Munkkikorppikotka</v>
      </c>
      <c r="AQ83" t="str">
        <f t="shared" si="22"/>
        <v>(18.9.---18.9.---18.9.)</v>
      </c>
    </row>
    <row r="84" spans="1:43" x14ac:dyDescent="0.2">
      <c r="A84" s="1"/>
      <c r="B84" s="9">
        <f t="shared" si="20"/>
        <v>81</v>
      </c>
      <c r="C84" s="10"/>
      <c r="D84" s="15" t="s">
        <v>78</v>
      </c>
      <c r="E84" s="16"/>
      <c r="F84" s="11"/>
      <c r="G84" s="12"/>
      <c r="H84" s="11"/>
      <c r="I84" s="12"/>
      <c r="J84" s="11"/>
      <c r="K84" s="12"/>
      <c r="L84" s="11"/>
      <c r="M84" s="12"/>
      <c r="N84" s="11"/>
      <c r="O84" s="12"/>
      <c r="P84" s="11"/>
      <c r="Q84" s="12">
        <v>43625</v>
      </c>
      <c r="R84" s="11"/>
      <c r="S84" s="12"/>
      <c r="T84" s="11"/>
      <c r="U84" s="12"/>
      <c r="V84" s="11">
        <v>43638</v>
      </c>
      <c r="W84" s="12"/>
      <c r="X84" s="11"/>
      <c r="Y84" s="12"/>
      <c r="Z84" s="11"/>
      <c r="AA84" s="12"/>
      <c r="AB84" s="11"/>
      <c r="AC84" s="12" t="s">
        <v>393</v>
      </c>
      <c r="AD84" s="34"/>
      <c r="AE84" s="33">
        <f t="shared" si="13"/>
        <v>43625</v>
      </c>
      <c r="AF84" s="33">
        <f t="shared" si="14"/>
        <v>43631.5</v>
      </c>
      <c r="AG84" s="33">
        <f t="shared" si="15"/>
        <v>43638</v>
      </c>
      <c r="AH84">
        <v>104</v>
      </c>
      <c r="AK84" s="36" t="str">
        <f t="shared" si="16"/>
        <v/>
      </c>
      <c r="AL84" t="str">
        <f t="shared" si="21"/>
        <v/>
      </c>
      <c r="AM84" t="s">
        <v>393</v>
      </c>
      <c r="AN84">
        <f t="shared" si="17"/>
        <v>13</v>
      </c>
      <c r="AO84" t="str">
        <f t="shared" si="18"/>
        <v>9.6.---15.6.---22.6.</v>
      </c>
      <c r="AP84" t="str">
        <f t="shared" si="19"/>
        <v>Käärmekotka</v>
      </c>
      <c r="AQ84" t="str">
        <f t="shared" si="22"/>
        <v>(9.6.---15.6.---22.6.)</v>
      </c>
    </row>
    <row r="85" spans="1:43" x14ac:dyDescent="0.2">
      <c r="A85" s="1"/>
      <c r="B85" s="9">
        <f t="shared" si="20"/>
        <v>82</v>
      </c>
      <c r="C85" s="10"/>
      <c r="D85" s="9" t="s">
        <v>79</v>
      </c>
      <c r="E85" s="10"/>
      <c r="F85" s="11">
        <v>43567</v>
      </c>
      <c r="G85" s="12">
        <v>43565</v>
      </c>
      <c r="H85" s="11">
        <v>43567</v>
      </c>
      <c r="I85" s="12">
        <v>43565</v>
      </c>
      <c r="J85" s="11">
        <v>43564</v>
      </c>
      <c r="K85" s="12">
        <v>43565</v>
      </c>
      <c r="L85" s="11">
        <v>43564</v>
      </c>
      <c r="M85" s="12">
        <v>43568</v>
      </c>
      <c r="N85" s="11">
        <v>43556</v>
      </c>
      <c r="O85" s="12">
        <v>43563</v>
      </c>
      <c r="P85" s="11">
        <v>43566</v>
      </c>
      <c r="Q85" s="12">
        <v>43564</v>
      </c>
      <c r="R85" s="11">
        <v>43567</v>
      </c>
      <c r="S85" s="12">
        <v>43567</v>
      </c>
      <c r="T85" s="11">
        <v>43566</v>
      </c>
      <c r="U85" s="12">
        <v>43565</v>
      </c>
      <c r="V85" s="11">
        <v>43557</v>
      </c>
      <c r="W85" s="12">
        <v>43560</v>
      </c>
      <c r="X85" s="11">
        <v>43568</v>
      </c>
      <c r="Y85" s="12">
        <v>43561</v>
      </c>
      <c r="Z85" s="11">
        <v>43561</v>
      </c>
      <c r="AA85" s="12">
        <v>43561</v>
      </c>
      <c r="AB85" s="11">
        <v>43567</v>
      </c>
      <c r="AC85" s="12">
        <v>43566</v>
      </c>
      <c r="AD85" s="34"/>
      <c r="AE85" s="33">
        <f t="shared" si="13"/>
        <v>43556</v>
      </c>
      <c r="AF85" s="33">
        <f t="shared" si="14"/>
        <v>43565</v>
      </c>
      <c r="AG85" s="33">
        <f t="shared" si="15"/>
        <v>43568</v>
      </c>
      <c r="AH85">
        <v>105</v>
      </c>
      <c r="AK85" s="36" t="str">
        <f t="shared" si="16"/>
        <v/>
      </c>
      <c r="AL85" t="str">
        <f t="shared" si="21"/>
        <v/>
      </c>
      <c r="AM85" t="s">
        <v>393</v>
      </c>
      <c r="AN85">
        <f t="shared" si="17"/>
        <v>12</v>
      </c>
      <c r="AO85" t="str">
        <f t="shared" si="18"/>
        <v>1.4.---10.4.---13.4.</v>
      </c>
      <c r="AP85" t="str">
        <f t="shared" si="19"/>
        <v>Ruskosuohaukka</v>
      </c>
      <c r="AQ85" t="str">
        <f t="shared" si="22"/>
        <v>(1.4.---10.4.---13.4.)</v>
      </c>
    </row>
    <row r="86" spans="1:43" x14ac:dyDescent="0.2">
      <c r="A86" s="1"/>
      <c r="B86" s="9">
        <f t="shared" si="20"/>
        <v>83</v>
      </c>
      <c r="C86" s="10"/>
      <c r="D86" s="9" t="s">
        <v>80</v>
      </c>
      <c r="E86" s="10"/>
      <c r="F86" s="11">
        <v>43564</v>
      </c>
      <c r="G86" s="12">
        <v>43561</v>
      </c>
      <c r="H86" s="11">
        <v>43553</v>
      </c>
      <c r="I86" s="12">
        <v>43551</v>
      </c>
      <c r="J86" s="11">
        <v>43558</v>
      </c>
      <c r="K86" s="12">
        <v>43557</v>
      </c>
      <c r="L86" s="11">
        <v>43560</v>
      </c>
      <c r="M86" s="12">
        <v>43554</v>
      </c>
      <c r="N86" s="11">
        <v>43553</v>
      </c>
      <c r="O86" s="12">
        <v>43563</v>
      </c>
      <c r="P86" s="11">
        <v>43565</v>
      </c>
      <c r="Q86" s="12">
        <v>43560</v>
      </c>
      <c r="R86" s="11">
        <v>43552</v>
      </c>
      <c r="S86" s="12">
        <v>43570</v>
      </c>
      <c r="T86" s="11">
        <f>IF(AG1,DATE(2019,1,7),DATE(2019,3,23))</f>
        <v>43547</v>
      </c>
      <c r="U86" s="12">
        <v>43556</v>
      </c>
      <c r="V86" s="11">
        <v>43552</v>
      </c>
      <c r="W86" s="12">
        <v>43549</v>
      </c>
      <c r="X86" s="11">
        <v>43566</v>
      </c>
      <c r="Y86" s="12">
        <v>43558</v>
      </c>
      <c r="Z86" s="11">
        <v>43545</v>
      </c>
      <c r="AA86" s="12">
        <v>43554</v>
      </c>
      <c r="AB86" s="11">
        <v>43534</v>
      </c>
      <c r="AC86" s="12">
        <v>43562</v>
      </c>
      <c r="AD86" s="34"/>
      <c r="AE86" s="33">
        <f t="shared" si="13"/>
        <v>43534</v>
      </c>
      <c r="AF86" s="33">
        <f t="shared" si="14"/>
        <v>43556.5</v>
      </c>
      <c r="AG86" s="33">
        <f t="shared" si="15"/>
        <v>43570</v>
      </c>
      <c r="AH86">
        <v>106</v>
      </c>
      <c r="AK86" s="36" t="str">
        <f t="shared" si="16"/>
        <v/>
      </c>
      <c r="AL86" t="str">
        <f t="shared" si="21"/>
        <v/>
      </c>
      <c r="AM86">
        <v>1</v>
      </c>
      <c r="AN86">
        <f t="shared" si="17"/>
        <v>36</v>
      </c>
      <c r="AO86" t="str">
        <f t="shared" si="18"/>
        <v>10.3.---1.4.---15.4.</v>
      </c>
      <c r="AP86" t="str">
        <f t="shared" si="19"/>
        <v>Sinisuohaukka</v>
      </c>
      <c r="AQ86" t="str">
        <f t="shared" si="22"/>
        <v>(10.3.---1.4.---15.4., 1/21)</v>
      </c>
    </row>
    <row r="87" spans="1:43" x14ac:dyDescent="0.2">
      <c r="A87" s="1"/>
      <c r="B87" s="9">
        <f t="shared" si="20"/>
        <v>84</v>
      </c>
      <c r="C87" s="10"/>
      <c r="D87" s="13" t="s">
        <v>81</v>
      </c>
      <c r="E87" s="14"/>
      <c r="F87" s="11"/>
      <c r="G87" s="12"/>
      <c r="H87" s="11"/>
      <c r="I87" s="12">
        <v>43589</v>
      </c>
      <c r="J87" s="11">
        <v>43579</v>
      </c>
      <c r="K87" s="12">
        <v>43576</v>
      </c>
      <c r="L87" s="11">
        <v>43584</v>
      </c>
      <c r="M87" s="12">
        <v>43568</v>
      </c>
      <c r="N87" s="11">
        <v>43573</v>
      </c>
      <c r="O87" s="12">
        <v>43571</v>
      </c>
      <c r="P87" s="11">
        <v>43571</v>
      </c>
      <c r="Q87" s="12">
        <v>43572</v>
      </c>
      <c r="R87" s="11">
        <v>43567</v>
      </c>
      <c r="S87" s="12">
        <v>43574</v>
      </c>
      <c r="T87" s="11">
        <v>43568</v>
      </c>
      <c r="U87" s="12">
        <v>43565</v>
      </c>
      <c r="V87" s="11">
        <v>43562</v>
      </c>
      <c r="W87" s="12">
        <v>43574</v>
      </c>
      <c r="X87" s="11">
        <v>43574</v>
      </c>
      <c r="Y87" s="12">
        <v>43562</v>
      </c>
      <c r="Z87" s="11">
        <v>43563</v>
      </c>
      <c r="AA87" s="12">
        <v>43563</v>
      </c>
      <c r="AB87" s="11">
        <v>43571</v>
      </c>
      <c r="AC87" s="12">
        <v>43566</v>
      </c>
      <c r="AD87" s="34"/>
      <c r="AE87" s="33">
        <f t="shared" si="13"/>
        <v>43562</v>
      </c>
      <c r="AF87" s="33">
        <f t="shared" si="14"/>
        <v>43571</v>
      </c>
      <c r="AG87" s="33">
        <f t="shared" si="15"/>
        <v>43589</v>
      </c>
      <c r="AH87">
        <v>107</v>
      </c>
      <c r="AK87" s="36" t="str">
        <f t="shared" si="16"/>
        <v/>
      </c>
      <c r="AL87" t="str">
        <f t="shared" si="21"/>
        <v/>
      </c>
      <c r="AM87" t="s">
        <v>393</v>
      </c>
      <c r="AN87">
        <f t="shared" si="17"/>
        <v>27</v>
      </c>
      <c r="AO87" t="str">
        <f t="shared" si="18"/>
        <v>7.4.---16.4.---4.5.</v>
      </c>
      <c r="AP87" t="str">
        <f t="shared" si="19"/>
        <v>Arosuohaukka</v>
      </c>
      <c r="AQ87" t="str">
        <f t="shared" si="22"/>
        <v>(7.4.---16.4.---4.5.)</v>
      </c>
    </row>
    <row r="88" spans="1:43" x14ac:dyDescent="0.2">
      <c r="A88" s="1"/>
      <c r="B88" s="9">
        <f t="shared" si="20"/>
        <v>85</v>
      </c>
      <c r="C88" s="10"/>
      <c r="D88" s="13" t="s">
        <v>82</v>
      </c>
      <c r="E88" s="14"/>
      <c r="F88" s="11"/>
      <c r="G88" s="12"/>
      <c r="H88" s="11"/>
      <c r="I88" s="12">
        <v>43599</v>
      </c>
      <c r="J88" s="11">
        <v>43588</v>
      </c>
      <c r="K88" s="12">
        <v>43595</v>
      </c>
      <c r="L88" s="11">
        <v>43595</v>
      </c>
      <c r="M88" s="12">
        <v>43590</v>
      </c>
      <c r="N88" s="11">
        <v>43599</v>
      </c>
      <c r="O88" s="12">
        <v>43587</v>
      </c>
      <c r="P88" s="11">
        <v>43587</v>
      </c>
      <c r="Q88" s="12">
        <v>43599</v>
      </c>
      <c r="R88" s="11">
        <v>43578</v>
      </c>
      <c r="S88" s="12">
        <v>43587</v>
      </c>
      <c r="T88" s="11">
        <v>43584</v>
      </c>
      <c r="U88" s="12">
        <v>43576</v>
      </c>
      <c r="V88" s="11">
        <v>43604</v>
      </c>
      <c r="W88" s="12">
        <v>43606</v>
      </c>
      <c r="X88" s="11">
        <v>43591</v>
      </c>
      <c r="Y88" s="12">
        <v>43589</v>
      </c>
      <c r="Z88" s="11">
        <v>43584</v>
      </c>
      <c r="AA88" s="12">
        <v>43630</v>
      </c>
      <c r="AB88" s="11">
        <v>43597</v>
      </c>
      <c r="AC88" s="12">
        <v>43600</v>
      </c>
      <c r="AD88" s="34"/>
      <c r="AE88" s="33">
        <f t="shared" si="13"/>
        <v>43576</v>
      </c>
      <c r="AF88" s="33">
        <f t="shared" si="14"/>
        <v>43591</v>
      </c>
      <c r="AG88" s="33">
        <f t="shared" si="15"/>
        <v>43630</v>
      </c>
      <c r="AH88">
        <v>108</v>
      </c>
      <c r="AK88" s="36" t="str">
        <f t="shared" si="16"/>
        <v/>
      </c>
      <c r="AL88" t="str">
        <f t="shared" si="21"/>
        <v/>
      </c>
      <c r="AM88" t="s">
        <v>393</v>
      </c>
      <c r="AN88">
        <f t="shared" si="17"/>
        <v>54</v>
      </c>
      <c r="AO88" t="str">
        <f t="shared" si="18"/>
        <v>21.4.---6.5.---14.6.</v>
      </c>
      <c r="AP88" t="str">
        <f t="shared" si="19"/>
        <v>Niittysuohaukka</v>
      </c>
      <c r="AQ88" t="str">
        <f t="shared" si="22"/>
        <v>(21.4.---6.5.---14.6.)</v>
      </c>
    </row>
    <row r="89" spans="1:43" x14ac:dyDescent="0.2">
      <c r="A89" s="1"/>
      <c r="B89" s="9">
        <f t="shared" si="20"/>
        <v>86</v>
      </c>
      <c r="C89" s="10"/>
      <c r="D89" s="9" t="s">
        <v>83</v>
      </c>
      <c r="E89" s="10"/>
      <c r="F89" s="11"/>
      <c r="G89" s="12"/>
      <c r="H89" s="11">
        <v>43466</v>
      </c>
      <c r="I89" s="12">
        <v>43466</v>
      </c>
      <c r="J89" s="11">
        <v>43466</v>
      </c>
      <c r="K89" s="12">
        <v>43466</v>
      </c>
      <c r="L89" s="11">
        <v>43466</v>
      </c>
      <c r="M89" s="12">
        <v>43466</v>
      </c>
      <c r="N89" s="11">
        <v>43466</v>
      </c>
      <c r="O89" s="12">
        <v>43466</v>
      </c>
      <c r="P89" s="11">
        <v>43466</v>
      </c>
      <c r="Q89" s="12">
        <v>43466</v>
      </c>
      <c r="R89" s="11">
        <v>43466</v>
      </c>
      <c r="S89" s="12">
        <v>43467</v>
      </c>
      <c r="T89" s="11">
        <v>43466</v>
      </c>
      <c r="U89" s="12">
        <v>43466</v>
      </c>
      <c r="V89" s="11">
        <v>43466</v>
      </c>
      <c r="W89" s="12">
        <v>43466</v>
      </c>
      <c r="X89" s="11">
        <v>43466</v>
      </c>
      <c r="Y89" s="12">
        <v>43466</v>
      </c>
      <c r="Z89" s="11">
        <v>43466</v>
      </c>
      <c r="AA89" s="12">
        <v>43466</v>
      </c>
      <c r="AB89" s="11">
        <v>43466</v>
      </c>
      <c r="AC89" s="12">
        <v>43466</v>
      </c>
      <c r="AD89" s="34"/>
      <c r="AE89" s="33">
        <f t="shared" si="13"/>
        <v>43466</v>
      </c>
      <c r="AF89" s="33">
        <f t="shared" si="14"/>
        <v>43466</v>
      </c>
      <c r="AG89" s="33">
        <f t="shared" si="15"/>
        <v>43467</v>
      </c>
      <c r="AH89">
        <v>109</v>
      </c>
      <c r="AK89" s="36" t="str">
        <f t="shared" si="16"/>
        <v/>
      </c>
      <c r="AL89">
        <f t="shared" si="21"/>
        <v>19</v>
      </c>
      <c r="AM89">
        <v>19</v>
      </c>
      <c r="AN89">
        <f t="shared" si="17"/>
        <v>1</v>
      </c>
      <c r="AO89" t="str">
        <f t="shared" si="18"/>
        <v>1.1.---1.1.---2.1.</v>
      </c>
      <c r="AP89" t="str">
        <f t="shared" si="19"/>
        <v>Kanahaukka</v>
      </c>
      <c r="AQ89" t="str">
        <f t="shared" si="22"/>
        <v>(1.1.---1.1.---2.1., 19/21)</v>
      </c>
    </row>
    <row r="90" spans="1:43" x14ac:dyDescent="0.2">
      <c r="A90" s="1"/>
      <c r="B90" s="9">
        <f t="shared" si="20"/>
        <v>87</v>
      </c>
      <c r="C90" s="10"/>
      <c r="D90" s="9" t="s">
        <v>84</v>
      </c>
      <c r="E90" s="10"/>
      <c r="F90" s="11"/>
      <c r="G90" s="12"/>
      <c r="H90" s="11"/>
      <c r="I90" s="12">
        <v>43466</v>
      </c>
      <c r="J90" s="11">
        <v>43466</v>
      </c>
      <c r="K90" s="12">
        <v>43466</v>
      </c>
      <c r="L90" s="11">
        <v>43466</v>
      </c>
      <c r="M90" s="12">
        <v>43466</v>
      </c>
      <c r="N90" s="11">
        <v>43466</v>
      </c>
      <c r="O90" s="12">
        <v>43466</v>
      </c>
      <c r="P90" s="11">
        <v>43466</v>
      </c>
      <c r="Q90" s="12">
        <v>43466</v>
      </c>
      <c r="R90" s="11">
        <v>43467</v>
      </c>
      <c r="S90" s="12">
        <v>43466</v>
      </c>
      <c r="T90" s="11">
        <v>43466</v>
      </c>
      <c r="U90" s="12">
        <v>43466</v>
      </c>
      <c r="V90" s="11">
        <v>43466</v>
      </c>
      <c r="W90" s="12">
        <v>43466</v>
      </c>
      <c r="X90" s="11">
        <v>43466</v>
      </c>
      <c r="Y90" s="12">
        <v>43466</v>
      </c>
      <c r="Z90" s="11">
        <v>43466</v>
      </c>
      <c r="AA90" s="12">
        <v>43466</v>
      </c>
      <c r="AB90" s="11">
        <v>43466</v>
      </c>
      <c r="AC90" s="12">
        <v>43466</v>
      </c>
      <c r="AD90" s="34"/>
      <c r="AE90" s="33">
        <f t="shared" si="13"/>
        <v>43466</v>
      </c>
      <c r="AF90" s="33">
        <f t="shared" si="14"/>
        <v>43466</v>
      </c>
      <c r="AG90" s="33">
        <f t="shared" si="15"/>
        <v>43467</v>
      </c>
      <c r="AH90">
        <v>110</v>
      </c>
      <c r="AK90" s="36" t="str">
        <f t="shared" si="16"/>
        <v/>
      </c>
      <c r="AL90">
        <f t="shared" si="21"/>
        <v>18</v>
      </c>
      <c r="AM90">
        <v>18</v>
      </c>
      <c r="AN90">
        <f t="shared" si="17"/>
        <v>1</v>
      </c>
      <c r="AO90" t="str">
        <f t="shared" si="18"/>
        <v>1.1.---1.1.---2.1.</v>
      </c>
      <c r="AP90" t="str">
        <f t="shared" si="19"/>
        <v>Varpushaukka</v>
      </c>
      <c r="AQ90" t="str">
        <f t="shared" si="22"/>
        <v>(1.1.---1.1.---2.1., 18/21)</v>
      </c>
    </row>
    <row r="91" spans="1:43" x14ac:dyDescent="0.2">
      <c r="A91" s="1"/>
      <c r="B91" s="9">
        <f t="shared" si="20"/>
        <v>88</v>
      </c>
      <c r="C91" s="10"/>
      <c r="D91" s="9" t="s">
        <v>85</v>
      </c>
      <c r="E91" s="10"/>
      <c r="F91" s="11">
        <v>43563</v>
      </c>
      <c r="G91" s="12">
        <v>43562</v>
      </c>
      <c r="H91" s="11">
        <v>43555</v>
      </c>
      <c r="I91" s="12">
        <v>43553</v>
      </c>
      <c r="J91" s="11">
        <v>43554</v>
      </c>
      <c r="K91" s="12">
        <v>43558</v>
      </c>
      <c r="L91" s="11">
        <v>43562</v>
      </c>
      <c r="M91" s="12">
        <v>43548</v>
      </c>
      <c r="N91" s="11">
        <v>43555</v>
      </c>
      <c r="O91" s="12">
        <v>43529</v>
      </c>
      <c r="P91" s="11">
        <f>IF(AG1,DATE(2019,1,4),DATE(2019,3,31))</f>
        <v>43555</v>
      </c>
      <c r="Q91" s="12">
        <v>43558</v>
      </c>
      <c r="R91" s="11">
        <v>43552</v>
      </c>
      <c r="S91" s="12">
        <v>43551</v>
      </c>
      <c r="T91" s="11">
        <v>43530</v>
      </c>
      <c r="U91" s="12">
        <f>IF(AG1,DATE(2019,1,1),DATE(2019,3,14))</f>
        <v>43538</v>
      </c>
      <c r="V91" s="11">
        <f>IF(AG1,DATE(2019,2,6),DATE(2019,3,27))</f>
        <v>43551</v>
      </c>
      <c r="W91" s="12">
        <v>43544</v>
      </c>
      <c r="X91" s="11">
        <v>43563</v>
      </c>
      <c r="Y91" s="12">
        <v>43552</v>
      </c>
      <c r="Z91" s="11">
        <v>43542</v>
      </c>
      <c r="AA91" s="12">
        <v>43548</v>
      </c>
      <c r="AB91" s="11">
        <v>43543</v>
      </c>
      <c r="AC91" s="12">
        <v>43534</v>
      </c>
      <c r="AD91" s="34"/>
      <c r="AE91" s="33">
        <f t="shared" si="13"/>
        <v>43529</v>
      </c>
      <c r="AF91" s="33">
        <f t="shared" si="14"/>
        <v>43552</v>
      </c>
      <c r="AG91" s="33">
        <f t="shared" si="15"/>
        <v>43563</v>
      </c>
      <c r="AH91">
        <v>111</v>
      </c>
      <c r="AK91" s="36" t="str">
        <f t="shared" si="16"/>
        <v/>
      </c>
      <c r="AL91" t="str">
        <f t="shared" si="21"/>
        <v/>
      </c>
      <c r="AM91">
        <v>3</v>
      </c>
      <c r="AN91">
        <f t="shared" si="17"/>
        <v>34</v>
      </c>
      <c r="AO91" t="str">
        <f t="shared" si="18"/>
        <v>5.3.---28.3.---8.4.</v>
      </c>
      <c r="AP91" t="str">
        <f t="shared" si="19"/>
        <v>Hiirihaukka</v>
      </c>
      <c r="AQ91" t="str">
        <f t="shared" si="22"/>
        <v>(5.3.---28.3.---8.4., 3/21)</v>
      </c>
    </row>
    <row r="92" spans="1:43" x14ac:dyDescent="0.2">
      <c r="A92" s="1"/>
      <c r="B92" s="9">
        <f t="shared" si="20"/>
        <v>89</v>
      </c>
      <c r="C92" s="10"/>
      <c r="D92" s="9" t="s">
        <v>86</v>
      </c>
      <c r="E92" s="10"/>
      <c r="F92" s="11">
        <v>43562</v>
      </c>
      <c r="G92" s="12">
        <v>43563</v>
      </c>
      <c r="H92" s="11">
        <v>43560</v>
      </c>
      <c r="I92" s="12">
        <v>43519</v>
      </c>
      <c r="J92" s="11">
        <v>43558</v>
      </c>
      <c r="K92" s="12">
        <v>43559</v>
      </c>
      <c r="L92" s="11">
        <v>43564</v>
      </c>
      <c r="M92" s="12">
        <v>43554</v>
      </c>
      <c r="N92" s="11">
        <v>43553</v>
      </c>
      <c r="O92" s="12">
        <v>43539</v>
      </c>
      <c r="P92" s="11">
        <v>43566</v>
      </c>
      <c r="Q92" s="12">
        <v>43556</v>
      </c>
      <c r="R92" s="11">
        <v>43555</v>
      </c>
      <c r="S92" s="12">
        <v>43572</v>
      </c>
      <c r="T92" s="11">
        <f>IF(AG1,DATE(2019,1,2),DATE(2019,4,3))</f>
        <v>43558</v>
      </c>
      <c r="U92" s="12">
        <v>43543</v>
      </c>
      <c r="V92" s="11">
        <v>43555</v>
      </c>
      <c r="W92" s="12">
        <v>43561</v>
      </c>
      <c r="X92" s="11">
        <v>43569</v>
      </c>
      <c r="Y92" s="12">
        <f>IF(AG1,DATE(2019,2,7),DATE(2019,3,21))</f>
        <v>43545</v>
      </c>
      <c r="Z92" s="11">
        <v>43549</v>
      </c>
      <c r="AA92" s="12">
        <f>IF(AG1,DATE(2019,1,17),DATE(2019,4,11))</f>
        <v>43566</v>
      </c>
      <c r="AB92" s="11">
        <f>IF(AF1,DATE(2019,1,26),DATE(2019,4,3))</f>
        <v>43558</v>
      </c>
      <c r="AC92" s="12">
        <v>43561</v>
      </c>
      <c r="AD92" s="34"/>
      <c r="AE92" s="33">
        <f t="shared" si="13"/>
        <v>43519</v>
      </c>
      <c r="AF92" s="33">
        <f t="shared" si="14"/>
        <v>43558</v>
      </c>
      <c r="AG92" s="33">
        <f t="shared" si="15"/>
        <v>43572</v>
      </c>
      <c r="AH92">
        <v>113</v>
      </c>
      <c r="AK92" s="36" t="str">
        <f t="shared" si="16"/>
        <v/>
      </c>
      <c r="AL92">
        <f t="shared" si="21"/>
        <v>1</v>
      </c>
      <c r="AM92">
        <v>3</v>
      </c>
      <c r="AN92">
        <f t="shared" si="17"/>
        <v>53</v>
      </c>
      <c r="AO92" t="str">
        <f t="shared" si="18"/>
        <v>23.2.---3.4.---17.4.</v>
      </c>
      <c r="AP92" t="str">
        <f t="shared" si="19"/>
        <v>Piekana</v>
      </c>
      <c r="AQ92" t="str">
        <f t="shared" si="22"/>
        <v>(23.2.---3.4.---17.4., 3/21)</v>
      </c>
    </row>
    <row r="93" spans="1:43" x14ac:dyDescent="0.2">
      <c r="A93" s="1"/>
      <c r="B93" s="9"/>
      <c r="C93" s="10"/>
      <c r="D93" s="18" t="s">
        <v>87</v>
      </c>
      <c r="E93" s="10"/>
      <c r="F93" s="11"/>
      <c r="G93" s="12"/>
      <c r="H93" s="11"/>
      <c r="I93" s="12"/>
      <c r="J93" s="11"/>
      <c r="K93" s="12"/>
      <c r="L93" s="11"/>
      <c r="M93" s="12"/>
      <c r="N93" s="11"/>
      <c r="O93" s="12"/>
      <c r="P93" s="11"/>
      <c r="Q93" s="12"/>
      <c r="R93" s="11"/>
      <c r="S93" s="12"/>
      <c r="T93" s="11"/>
      <c r="U93" s="12"/>
      <c r="V93" s="11"/>
      <c r="W93" s="12"/>
      <c r="X93" s="11"/>
      <c r="Y93" s="12"/>
      <c r="Z93" s="11"/>
      <c r="AA93" s="12"/>
      <c r="AB93" s="11"/>
      <c r="AC93" s="12" t="s">
        <v>393</v>
      </c>
      <c r="AD93" s="34"/>
      <c r="AE93" s="33" t="str">
        <f t="shared" si="13"/>
        <v/>
      </c>
      <c r="AF93" s="33" t="str">
        <f t="shared" si="14"/>
        <v/>
      </c>
      <c r="AG93" s="33" t="str">
        <f t="shared" si="15"/>
        <v/>
      </c>
      <c r="AH93">
        <v>113.1</v>
      </c>
      <c r="AK93" s="36" t="str">
        <f t="shared" si="16"/>
        <v/>
      </c>
      <c r="AL93" t="str">
        <f t="shared" si="21"/>
        <v/>
      </c>
      <c r="AM93" t="s">
        <v>393</v>
      </c>
      <c r="AN93" t="e">
        <f t="shared" si="17"/>
        <v>#VALUE!</v>
      </c>
      <c r="AO93" t="str">
        <f t="shared" si="18"/>
        <v>------</v>
      </c>
      <c r="AP93" t="str">
        <f t="shared" si="19"/>
        <v>Hiirihaukkalaji</v>
      </c>
      <c r="AQ93" t="str">
        <f t="shared" si="22"/>
        <v>(------)</v>
      </c>
    </row>
    <row r="94" spans="1:43" x14ac:dyDescent="0.2">
      <c r="A94" s="1"/>
      <c r="B94" s="9">
        <f>B92+1</f>
        <v>90</v>
      </c>
      <c r="C94" s="10"/>
      <c r="D94" s="13" t="s">
        <v>88</v>
      </c>
      <c r="E94" s="14"/>
      <c r="F94" s="11"/>
      <c r="G94" s="12"/>
      <c r="H94" s="11"/>
      <c r="I94" s="12">
        <v>43592</v>
      </c>
      <c r="J94" s="11">
        <v>43584</v>
      </c>
      <c r="K94" s="12"/>
      <c r="L94" s="11">
        <v>43583</v>
      </c>
      <c r="M94" s="12">
        <v>43572</v>
      </c>
      <c r="N94" s="11">
        <v>43573</v>
      </c>
      <c r="O94" s="12">
        <v>43570</v>
      </c>
      <c r="P94" s="11">
        <v>43593</v>
      </c>
      <c r="Q94" s="12">
        <v>43592</v>
      </c>
      <c r="R94" s="11">
        <v>43579</v>
      </c>
      <c r="S94" s="12">
        <v>43576</v>
      </c>
      <c r="T94" s="11">
        <v>43574</v>
      </c>
      <c r="U94" s="12"/>
      <c r="V94" s="11">
        <v>43566</v>
      </c>
      <c r="W94" s="12">
        <v>43585</v>
      </c>
      <c r="X94" s="11">
        <v>43570</v>
      </c>
      <c r="Y94" s="12">
        <v>43594</v>
      </c>
      <c r="Z94" s="11">
        <v>43585</v>
      </c>
      <c r="AA94" s="12">
        <v>43585</v>
      </c>
      <c r="AB94" s="11">
        <v>43617</v>
      </c>
      <c r="AC94" s="12">
        <v>43588</v>
      </c>
      <c r="AD94" s="34"/>
      <c r="AE94" s="33">
        <f t="shared" si="13"/>
        <v>43566</v>
      </c>
      <c r="AF94" s="33">
        <f t="shared" si="14"/>
        <v>43584</v>
      </c>
      <c r="AG94" s="33">
        <f t="shared" si="15"/>
        <v>43617</v>
      </c>
      <c r="AH94">
        <v>114</v>
      </c>
      <c r="AK94" s="36" t="str">
        <f t="shared" si="16"/>
        <v/>
      </c>
      <c r="AL94" t="str">
        <f t="shared" si="21"/>
        <v/>
      </c>
      <c r="AM94" t="s">
        <v>393</v>
      </c>
      <c r="AN94">
        <f t="shared" si="17"/>
        <v>51</v>
      </c>
      <c r="AO94" t="str">
        <f t="shared" si="18"/>
        <v>11.4.---29.4.---1.6.</v>
      </c>
      <c r="AP94" t="str">
        <f t="shared" si="19"/>
        <v>Kiljukotka</v>
      </c>
      <c r="AQ94" t="str">
        <f t="shared" si="22"/>
        <v>(11.4.---29.4.---1.6.)</v>
      </c>
    </row>
    <row r="95" spans="1:43" x14ac:dyDescent="0.2">
      <c r="A95" s="1"/>
      <c r="B95" s="9">
        <f t="shared" ref="B95:B122" si="23">B94+1</f>
        <v>91</v>
      </c>
      <c r="C95" s="10"/>
      <c r="D95" s="13" t="s">
        <v>89</v>
      </c>
      <c r="E95" s="14"/>
      <c r="F95" s="11"/>
      <c r="G95" s="12"/>
      <c r="H95" s="11"/>
      <c r="I95" s="12"/>
      <c r="J95" s="11">
        <v>43600</v>
      </c>
      <c r="K95" s="12">
        <v>43591</v>
      </c>
      <c r="L95" s="11"/>
      <c r="M95" s="12"/>
      <c r="N95" s="11"/>
      <c r="O95" s="12"/>
      <c r="P95" s="11">
        <v>43610</v>
      </c>
      <c r="Q95" s="12"/>
      <c r="R95" s="11"/>
      <c r="S95" s="12">
        <v>43602</v>
      </c>
      <c r="T95" s="11">
        <v>43572</v>
      </c>
      <c r="U95" s="12"/>
      <c r="V95" s="11">
        <v>43608</v>
      </c>
      <c r="W95" s="12">
        <v>43580</v>
      </c>
      <c r="X95" s="11">
        <v>43597</v>
      </c>
      <c r="Y95" s="12">
        <v>43697</v>
      </c>
      <c r="Z95" s="11"/>
      <c r="AA95" s="12"/>
      <c r="AB95" s="11"/>
      <c r="AC95" s="12">
        <v>43626</v>
      </c>
      <c r="AD95" s="34"/>
      <c r="AE95" s="33">
        <f t="shared" si="13"/>
        <v>43572</v>
      </c>
      <c r="AF95" s="33">
        <f t="shared" si="14"/>
        <v>43601</v>
      </c>
      <c r="AG95" s="33">
        <f t="shared" si="15"/>
        <v>43697</v>
      </c>
      <c r="AH95">
        <v>115</v>
      </c>
      <c r="AK95" s="36" t="str">
        <f t="shared" si="16"/>
        <v/>
      </c>
      <c r="AL95" t="str">
        <f t="shared" si="21"/>
        <v/>
      </c>
      <c r="AM95" t="s">
        <v>393</v>
      </c>
      <c r="AN95">
        <f t="shared" si="17"/>
        <v>125</v>
      </c>
      <c r="AO95" t="str">
        <f t="shared" si="18"/>
        <v>17.4.---16.5.---20.8.</v>
      </c>
      <c r="AP95" t="str">
        <f t="shared" si="19"/>
        <v>Pikkukiljukotka</v>
      </c>
      <c r="AQ95" t="str">
        <f t="shared" si="22"/>
        <v>(17.4.---16.5.---20.8.)</v>
      </c>
    </row>
    <row r="96" spans="1:43" x14ac:dyDescent="0.2">
      <c r="A96" s="1"/>
      <c r="B96" s="9">
        <f t="shared" si="23"/>
        <v>92</v>
      </c>
      <c r="C96" s="10"/>
      <c r="D96" s="15" t="s">
        <v>90</v>
      </c>
      <c r="E96" s="16"/>
      <c r="F96" s="11"/>
      <c r="G96" s="12"/>
      <c r="H96" s="11"/>
      <c r="I96" s="12"/>
      <c r="J96" s="11"/>
      <c r="K96" s="12">
        <v>43612</v>
      </c>
      <c r="L96" s="11"/>
      <c r="M96" s="12"/>
      <c r="N96" s="11"/>
      <c r="O96" s="12"/>
      <c r="P96" s="11"/>
      <c r="Q96" s="12"/>
      <c r="R96" s="11"/>
      <c r="S96" s="12"/>
      <c r="T96" s="11"/>
      <c r="U96" s="12"/>
      <c r="V96" s="11"/>
      <c r="W96" s="12"/>
      <c r="X96" s="11"/>
      <c r="Y96" s="12"/>
      <c r="Z96" s="11"/>
      <c r="AA96" s="12"/>
      <c r="AB96" s="11"/>
      <c r="AC96" s="12" t="s">
        <v>393</v>
      </c>
      <c r="AD96" s="34"/>
      <c r="AE96" s="33">
        <f t="shared" si="13"/>
        <v>43612</v>
      </c>
      <c r="AF96" s="33">
        <f t="shared" si="14"/>
        <v>43612</v>
      </c>
      <c r="AG96" s="33">
        <f t="shared" si="15"/>
        <v>43612</v>
      </c>
      <c r="AH96">
        <v>116</v>
      </c>
      <c r="AK96" s="36" t="str">
        <f t="shared" si="16"/>
        <v/>
      </c>
      <c r="AL96" t="str">
        <f t="shared" si="21"/>
        <v/>
      </c>
      <c r="AM96" t="s">
        <v>393</v>
      </c>
      <c r="AN96">
        <f t="shared" si="17"/>
        <v>0</v>
      </c>
      <c r="AO96" t="str">
        <f t="shared" si="18"/>
        <v>27.5.---27.5.---27.5.</v>
      </c>
      <c r="AP96" t="str">
        <f t="shared" si="19"/>
        <v>Pikkukotka</v>
      </c>
      <c r="AQ96" t="str">
        <f t="shared" si="22"/>
        <v>(27.5.---27.5.---27.5.)</v>
      </c>
    </row>
    <row r="97" spans="1:43" x14ac:dyDescent="0.2">
      <c r="A97" s="1"/>
      <c r="B97" s="9">
        <f t="shared" si="23"/>
        <v>93</v>
      </c>
      <c r="C97" s="10"/>
      <c r="D97" s="9" t="s">
        <v>91</v>
      </c>
      <c r="E97" s="10"/>
      <c r="F97" s="11">
        <v>43507</v>
      </c>
      <c r="G97" s="12">
        <v>43479</v>
      </c>
      <c r="H97" s="11">
        <v>43495</v>
      </c>
      <c r="I97" s="12">
        <v>43476</v>
      </c>
      <c r="J97" s="11">
        <v>43466</v>
      </c>
      <c r="K97" s="12">
        <v>43481</v>
      </c>
      <c r="L97" s="11">
        <v>43485</v>
      </c>
      <c r="M97" s="12">
        <v>43475</v>
      </c>
      <c r="N97" s="11">
        <v>43466</v>
      </c>
      <c r="O97" s="12">
        <v>43467</v>
      </c>
      <c r="P97" s="11">
        <v>43466</v>
      </c>
      <c r="Q97" s="12">
        <v>43467</v>
      </c>
      <c r="R97" s="11">
        <v>43466</v>
      </c>
      <c r="S97" s="12">
        <v>43469</v>
      </c>
      <c r="T97" s="11">
        <v>43469</v>
      </c>
      <c r="U97" s="12">
        <v>43475</v>
      </c>
      <c r="V97" s="11">
        <v>43466</v>
      </c>
      <c r="W97" s="12">
        <v>43469</v>
      </c>
      <c r="X97" s="11">
        <v>43473</v>
      </c>
      <c r="Y97" s="12">
        <v>43470</v>
      </c>
      <c r="Z97" s="11">
        <v>43468</v>
      </c>
      <c r="AA97" s="12">
        <v>43468</v>
      </c>
      <c r="AB97" s="11">
        <v>43468</v>
      </c>
      <c r="AC97" s="12">
        <v>43466</v>
      </c>
      <c r="AD97" s="34"/>
      <c r="AE97" s="33">
        <f t="shared" si="13"/>
        <v>43466</v>
      </c>
      <c r="AF97" s="33">
        <f t="shared" si="14"/>
        <v>43469</v>
      </c>
      <c r="AG97" s="33">
        <f t="shared" si="15"/>
        <v>43507</v>
      </c>
      <c r="AH97">
        <v>117</v>
      </c>
      <c r="AK97" s="36" t="str">
        <f t="shared" si="16"/>
        <v/>
      </c>
      <c r="AL97">
        <f t="shared" si="21"/>
        <v>21</v>
      </c>
      <c r="AM97">
        <v>21</v>
      </c>
      <c r="AN97">
        <f t="shared" si="17"/>
        <v>41</v>
      </c>
      <c r="AO97" t="str">
        <f t="shared" si="18"/>
        <v>1.1.---4.1.---11.2.</v>
      </c>
      <c r="AP97" t="str">
        <f t="shared" si="19"/>
        <v>Maakotka</v>
      </c>
      <c r="AQ97" t="str">
        <f t="shared" si="22"/>
        <v>(1.1.---4.1.---11.2., 21/21)</v>
      </c>
    </row>
    <row r="98" spans="1:43" x14ac:dyDescent="0.2">
      <c r="A98" s="1"/>
      <c r="B98" s="9">
        <f t="shared" si="23"/>
        <v>94</v>
      </c>
      <c r="C98" s="10"/>
      <c r="D98" s="15" t="s">
        <v>92</v>
      </c>
      <c r="E98" s="16"/>
      <c r="F98" s="11"/>
      <c r="G98" s="12"/>
      <c r="H98" s="11"/>
      <c r="I98" s="12"/>
      <c r="J98" s="11">
        <v>43613</v>
      </c>
      <c r="K98" s="12"/>
      <c r="L98" s="11">
        <v>43612</v>
      </c>
      <c r="M98" s="12"/>
      <c r="N98" s="11"/>
      <c r="O98" s="12"/>
      <c r="P98" s="11"/>
      <c r="Q98" s="12"/>
      <c r="R98" s="11"/>
      <c r="S98" s="12">
        <v>43654</v>
      </c>
      <c r="T98" s="11"/>
      <c r="U98" s="12"/>
      <c r="V98" s="11"/>
      <c r="W98" s="12">
        <v>43720</v>
      </c>
      <c r="X98" s="11"/>
      <c r="Y98" s="12"/>
      <c r="Z98" s="11"/>
      <c r="AA98" s="12"/>
      <c r="AB98" s="11"/>
      <c r="AC98" s="12" t="s">
        <v>393</v>
      </c>
      <c r="AD98" s="34"/>
      <c r="AE98" s="33">
        <f t="shared" si="13"/>
        <v>43612</v>
      </c>
      <c r="AF98" s="33">
        <f t="shared" si="14"/>
        <v>43633.5</v>
      </c>
      <c r="AG98" s="33">
        <f t="shared" si="15"/>
        <v>43720</v>
      </c>
      <c r="AH98">
        <v>118</v>
      </c>
      <c r="AK98" s="36" t="str">
        <f t="shared" si="16"/>
        <v/>
      </c>
      <c r="AL98" t="str">
        <f t="shared" si="21"/>
        <v/>
      </c>
      <c r="AM98" t="s">
        <v>393</v>
      </c>
      <c r="AN98">
        <f t="shared" si="17"/>
        <v>108</v>
      </c>
      <c r="AO98" t="str">
        <f t="shared" si="18"/>
        <v>27.5.---17.6.---12.9.</v>
      </c>
      <c r="AP98" t="str">
        <f t="shared" si="19"/>
        <v>Arokotka</v>
      </c>
      <c r="AQ98" t="str">
        <f t="shared" si="22"/>
        <v>(27.5.---17.6.---12.9.)</v>
      </c>
    </row>
    <row r="99" spans="1:43" x14ac:dyDescent="0.2">
      <c r="A99" s="1"/>
      <c r="B99" s="9">
        <f t="shared" si="23"/>
        <v>95</v>
      </c>
      <c r="C99" s="10"/>
      <c r="D99" s="15" t="s">
        <v>93</v>
      </c>
      <c r="E99" s="16"/>
      <c r="F99" s="11"/>
      <c r="G99" s="12"/>
      <c r="H99" s="11"/>
      <c r="I99" s="12"/>
      <c r="J99" s="11"/>
      <c r="K99" s="12"/>
      <c r="L99" s="11">
        <v>43605</v>
      </c>
      <c r="M99" s="12"/>
      <c r="N99" s="11"/>
      <c r="O99" s="12"/>
      <c r="P99" s="11"/>
      <c r="Q99" s="12"/>
      <c r="R99" s="11"/>
      <c r="S99" s="12"/>
      <c r="T99" s="11"/>
      <c r="U99" s="12"/>
      <c r="V99" s="11"/>
      <c r="W99" s="12"/>
      <c r="X99" s="11"/>
      <c r="Y99" s="12"/>
      <c r="Z99" s="11"/>
      <c r="AA99" s="12"/>
      <c r="AB99" s="11"/>
      <c r="AC99" s="12" t="s">
        <v>393</v>
      </c>
      <c r="AD99" s="34"/>
      <c r="AE99" s="33">
        <f t="shared" si="13"/>
        <v>43605</v>
      </c>
      <c r="AF99" s="33">
        <f t="shared" si="14"/>
        <v>43605</v>
      </c>
      <c r="AG99" s="33">
        <f t="shared" si="15"/>
        <v>43605</v>
      </c>
      <c r="AH99">
        <v>119</v>
      </c>
      <c r="AK99" s="36" t="str">
        <f t="shared" si="16"/>
        <v/>
      </c>
      <c r="AL99" t="str">
        <f t="shared" si="21"/>
        <v/>
      </c>
      <c r="AM99" t="s">
        <v>393</v>
      </c>
      <c r="AN99">
        <f t="shared" si="17"/>
        <v>0</v>
      </c>
      <c r="AO99" t="str">
        <f t="shared" si="18"/>
        <v>20.5.---20.5.---20.5.</v>
      </c>
      <c r="AP99" t="str">
        <f t="shared" si="19"/>
        <v>Keisarikotka</v>
      </c>
      <c r="AQ99" t="str">
        <f t="shared" si="22"/>
        <v>(20.5.---20.5.---20.5.)</v>
      </c>
    </row>
    <row r="100" spans="1:43" x14ac:dyDescent="0.2">
      <c r="A100" s="1"/>
      <c r="B100" s="9">
        <f t="shared" si="23"/>
        <v>96</v>
      </c>
      <c r="C100" s="10"/>
      <c r="D100" s="9" t="s">
        <v>94</v>
      </c>
      <c r="E100" s="10"/>
      <c r="F100" s="11">
        <v>43576</v>
      </c>
      <c r="G100" s="12">
        <v>43576</v>
      </c>
      <c r="H100" s="11">
        <v>43580</v>
      </c>
      <c r="I100" s="12">
        <v>43576</v>
      </c>
      <c r="J100" s="11">
        <v>43573</v>
      </c>
      <c r="K100" s="12">
        <v>43569</v>
      </c>
      <c r="L100" s="11">
        <v>43564</v>
      </c>
      <c r="M100" s="12">
        <v>43563</v>
      </c>
      <c r="N100" s="11">
        <v>43573</v>
      </c>
      <c r="O100" s="12">
        <v>43567</v>
      </c>
      <c r="P100" s="11">
        <v>43571</v>
      </c>
      <c r="Q100" s="12">
        <v>43570</v>
      </c>
      <c r="R100" s="11">
        <v>43571</v>
      </c>
      <c r="S100" s="12">
        <v>43575</v>
      </c>
      <c r="T100" s="11">
        <v>43574</v>
      </c>
      <c r="U100" s="12">
        <v>43573</v>
      </c>
      <c r="V100" s="11">
        <v>43572</v>
      </c>
      <c r="W100" s="12">
        <v>43576</v>
      </c>
      <c r="X100" s="11">
        <v>43572</v>
      </c>
      <c r="Y100" s="12">
        <v>43574</v>
      </c>
      <c r="Z100" s="11">
        <v>43571</v>
      </c>
      <c r="AA100" s="12">
        <v>43570</v>
      </c>
      <c r="AB100" s="11">
        <v>43578</v>
      </c>
      <c r="AC100" s="12">
        <v>43577</v>
      </c>
      <c r="AD100" s="34"/>
      <c r="AE100" s="33">
        <f t="shared" si="13"/>
        <v>43563</v>
      </c>
      <c r="AF100" s="33">
        <f t="shared" si="14"/>
        <v>43573</v>
      </c>
      <c r="AG100" s="33">
        <f t="shared" si="15"/>
        <v>43580</v>
      </c>
      <c r="AH100">
        <v>120</v>
      </c>
      <c r="AK100" s="36" t="str">
        <f t="shared" si="16"/>
        <v/>
      </c>
      <c r="AL100" t="str">
        <f t="shared" si="21"/>
        <v/>
      </c>
      <c r="AM100" t="s">
        <v>393</v>
      </c>
      <c r="AN100">
        <f t="shared" si="17"/>
        <v>17</v>
      </c>
      <c r="AO100" t="str">
        <f t="shared" si="18"/>
        <v>8.4.---18.4.---25.4.</v>
      </c>
      <c r="AP100" t="str">
        <f t="shared" si="19"/>
        <v>Sääksi</v>
      </c>
      <c r="AQ100" t="str">
        <f t="shared" si="22"/>
        <v>(8.4.---18.4.---25.4.)</v>
      </c>
    </row>
    <row r="101" spans="1:43" x14ac:dyDescent="0.2">
      <c r="A101" s="1"/>
      <c r="B101" s="9">
        <f t="shared" si="23"/>
        <v>97</v>
      </c>
      <c r="C101" s="10"/>
      <c r="D101" s="9" t="s">
        <v>95</v>
      </c>
      <c r="E101" s="10"/>
      <c r="F101" s="11">
        <v>43545</v>
      </c>
      <c r="G101" s="12">
        <v>43555</v>
      </c>
      <c r="H101" s="11">
        <v>43545</v>
      </c>
      <c r="I101" s="12">
        <v>43551</v>
      </c>
      <c r="J101" s="11">
        <v>43558</v>
      </c>
      <c r="K101" s="12">
        <v>43549</v>
      </c>
      <c r="L101" s="11">
        <f>IF(AG1,DATE(2019,1,5),DATE(2019,4,4))</f>
        <v>43559</v>
      </c>
      <c r="M101" s="12">
        <f>IF(AG1,DATE(2019,1,1),DATE(2019,3,17))</f>
        <v>43541</v>
      </c>
      <c r="N101" s="11">
        <v>43537</v>
      </c>
      <c r="O101" s="12">
        <f>IF(AG1,DATE(2019,1,1),DATE(2019,3,28))</f>
        <v>43552</v>
      </c>
      <c r="P101" s="11">
        <v>43556</v>
      </c>
      <c r="Q101" s="12">
        <v>43555</v>
      </c>
      <c r="R101" s="11">
        <f>IF(AG1,DATE(2019,2,3),DATE(2019,3,24))</f>
        <v>43548</v>
      </c>
      <c r="S101" s="12">
        <v>43565</v>
      </c>
      <c r="T101" s="11">
        <v>43533</v>
      </c>
      <c r="U101" s="12">
        <v>43538</v>
      </c>
      <c r="V101" s="11">
        <v>43551</v>
      </c>
      <c r="W101" s="12">
        <v>43545</v>
      </c>
      <c r="X101" s="11">
        <v>43564</v>
      </c>
      <c r="Y101" s="12">
        <v>43548</v>
      </c>
      <c r="Z101" s="11">
        <v>43543</v>
      </c>
      <c r="AA101" s="12">
        <f>IF(AG1,DATE(2019,1,20),DATE(2019,3,27))</f>
        <v>43551</v>
      </c>
      <c r="AB101" s="11">
        <v>43545</v>
      </c>
      <c r="AC101" s="12">
        <v>43527</v>
      </c>
      <c r="AD101" s="34"/>
      <c r="AE101" s="33">
        <f t="shared" si="13"/>
        <v>43527</v>
      </c>
      <c r="AF101" s="33">
        <f t="shared" si="14"/>
        <v>43548.5</v>
      </c>
      <c r="AG101" s="33">
        <f t="shared" si="15"/>
        <v>43565</v>
      </c>
      <c r="AH101">
        <v>122</v>
      </c>
      <c r="AK101" s="36" t="str">
        <f t="shared" si="16"/>
        <v/>
      </c>
      <c r="AL101" t="str">
        <f t="shared" si="21"/>
        <v/>
      </c>
      <c r="AM101">
        <v>4</v>
      </c>
      <c r="AN101">
        <f t="shared" si="17"/>
        <v>38</v>
      </c>
      <c r="AO101" t="str">
        <f t="shared" si="18"/>
        <v>3.3.---24.3.---10.4.</v>
      </c>
      <c r="AP101" t="str">
        <f t="shared" si="19"/>
        <v>Tuulihaukka</v>
      </c>
      <c r="AQ101" t="str">
        <f t="shared" si="22"/>
        <v>(3.3.---24.3.---10.4., 4/21)</v>
      </c>
    </row>
    <row r="102" spans="1:43" x14ac:dyDescent="0.2">
      <c r="A102" s="1"/>
      <c r="B102" s="9">
        <f t="shared" si="23"/>
        <v>98</v>
      </c>
      <c r="C102" s="10"/>
      <c r="D102" s="13" t="s">
        <v>96</v>
      </c>
      <c r="E102" s="14"/>
      <c r="F102" s="11"/>
      <c r="G102" s="12"/>
      <c r="H102" s="11"/>
      <c r="I102" s="12">
        <v>43603</v>
      </c>
      <c r="J102" s="11">
        <v>43609</v>
      </c>
      <c r="K102" s="12">
        <v>43601</v>
      </c>
      <c r="L102" s="11">
        <v>43618</v>
      </c>
      <c r="M102" s="12">
        <v>43624</v>
      </c>
      <c r="N102" s="11">
        <v>43631</v>
      </c>
      <c r="O102" s="12">
        <v>43606</v>
      </c>
      <c r="P102" s="11">
        <v>43611</v>
      </c>
      <c r="Q102" s="12">
        <v>43656</v>
      </c>
      <c r="R102" s="11">
        <v>43610</v>
      </c>
      <c r="S102" s="12">
        <v>43726</v>
      </c>
      <c r="T102" s="11">
        <v>43610</v>
      </c>
      <c r="U102" s="12">
        <v>43729</v>
      </c>
      <c r="V102" s="11"/>
      <c r="W102" s="12"/>
      <c r="X102" s="11">
        <v>43598</v>
      </c>
      <c r="Y102" s="12">
        <v>43700</v>
      </c>
      <c r="Z102" s="11">
        <v>43705</v>
      </c>
      <c r="AA102" s="12"/>
      <c r="AB102" s="11">
        <v>43619</v>
      </c>
      <c r="AC102" s="12">
        <v>43699</v>
      </c>
      <c r="AD102" s="34"/>
      <c r="AE102" s="33">
        <f t="shared" si="13"/>
        <v>43598</v>
      </c>
      <c r="AF102" s="33">
        <f t="shared" si="14"/>
        <v>43618.5</v>
      </c>
      <c r="AG102" s="33">
        <f t="shared" si="15"/>
        <v>43729</v>
      </c>
      <c r="AH102">
        <v>123</v>
      </c>
      <c r="AK102" s="36" t="str">
        <f t="shared" si="16"/>
        <v/>
      </c>
      <c r="AL102" t="str">
        <f t="shared" si="21"/>
        <v/>
      </c>
      <c r="AM102" t="s">
        <v>393</v>
      </c>
      <c r="AN102">
        <f t="shared" si="17"/>
        <v>131</v>
      </c>
      <c r="AO102" t="str">
        <f t="shared" si="18"/>
        <v>13.5.---2.6.---21.9.</v>
      </c>
      <c r="AP102" t="str">
        <f t="shared" si="19"/>
        <v>Punajalkahaukka</v>
      </c>
      <c r="AQ102" t="str">
        <f t="shared" si="22"/>
        <v>(13.5.---2.6.---21.9.)</v>
      </c>
    </row>
    <row r="103" spans="1:43" x14ac:dyDescent="0.2">
      <c r="A103" s="1"/>
      <c r="B103" s="9">
        <f t="shared" si="23"/>
        <v>99</v>
      </c>
      <c r="C103" s="10"/>
      <c r="D103" s="9" t="s">
        <v>97</v>
      </c>
      <c r="E103" s="10"/>
      <c r="F103" s="11">
        <v>43556</v>
      </c>
      <c r="G103" s="12">
        <f>IF(AG1,DATE(2019,1,13),DATE(2019,3,30))</f>
        <v>43554</v>
      </c>
      <c r="H103" s="11">
        <f>IF(AG1,DATE(2019,1,15),DATE(2019,3,20))</f>
        <v>43544</v>
      </c>
      <c r="I103" s="12">
        <f>IF(AG1,DATE(2019,1,2),DATE(2019,3,18))</f>
        <v>43542</v>
      </c>
      <c r="J103" s="11">
        <f>IF(AG1,DATE(2019,1,6),DATE(2019,3,11))</f>
        <v>43535</v>
      </c>
      <c r="K103" s="12">
        <f>IF(AG1,DATE(2019,1,31),DATE(2019,4,2))</f>
        <v>43557</v>
      </c>
      <c r="L103" s="11">
        <f>IF(AG1,DATE(2019,1,4),DATE(2019,4,8))</f>
        <v>43563</v>
      </c>
      <c r="M103" s="12">
        <f>IF(AG1,DATE(2019,1,7),DATE(2019,3,2))</f>
        <v>43526</v>
      </c>
      <c r="N103" s="11">
        <f>IF(AG1,DATE(2019,1,12),DATE(2019,3,6))</f>
        <v>43530</v>
      </c>
      <c r="O103" s="12">
        <f>IF(AG1,DATE(2019,1,1),DATE(2019,3,17))</f>
        <v>43541</v>
      </c>
      <c r="P103" s="11">
        <f>IF(AG1,DATE(2019,1,6),DATE(2019,3,27))</f>
        <v>43551</v>
      </c>
      <c r="Q103" s="12">
        <v>43558</v>
      </c>
      <c r="R103" s="11">
        <f>IF(AG1,DATE(2019,1,2),DATE(2019,3,28))</f>
        <v>43552</v>
      </c>
      <c r="S103" s="12">
        <f>IF(AG1,DATE(2019,1,21),DATE(2019,3,30))</f>
        <v>43554</v>
      </c>
      <c r="T103" s="11">
        <f>IF(AG1,DATE(2019,1,4),DATE(2019,3,9))</f>
        <v>43533</v>
      </c>
      <c r="U103" s="12">
        <f>IF(AG1,DATE(2019,1,11),DATE(2019,3,22))</f>
        <v>43546</v>
      </c>
      <c r="V103" s="11">
        <f>IF(AG1,DATE(2019,1,27),DATE(2019,3,27))</f>
        <v>43551</v>
      </c>
      <c r="W103" s="12">
        <f>IF(AG1,DATE(2019,1,4),DATE(2019,3,9))</f>
        <v>43533</v>
      </c>
      <c r="X103" s="11">
        <f>IF(AG1,DATE(2019,1,4),DATE(2019,3,25))</f>
        <v>43549</v>
      </c>
      <c r="Y103" s="12">
        <f>IF(AG1,DATE(2019,1,5),DATE(2019,3,18))</f>
        <v>43542</v>
      </c>
      <c r="Z103" s="11">
        <f>IF(AG1,DATE(2019,1,2),DATE(2019,3,20))</f>
        <v>43544</v>
      </c>
      <c r="AA103" s="12">
        <f>IF(AG1,DATE(2019,1,1),DATE(2019,3,25))</f>
        <v>43549</v>
      </c>
      <c r="AB103" s="11">
        <f>IF(AF1,DATE(2019,1,15),DATE(2019,3,15))</f>
        <v>43539</v>
      </c>
      <c r="AC103" s="12">
        <f>IF(AG1,DATE(2019,1,14),DATE(2019,3,3))</f>
        <v>43527</v>
      </c>
      <c r="AD103" s="34"/>
      <c r="AE103" s="33">
        <f t="shared" si="13"/>
        <v>43526</v>
      </c>
      <c r="AF103" s="33">
        <f t="shared" si="14"/>
        <v>43545</v>
      </c>
      <c r="AG103" s="33">
        <f t="shared" si="15"/>
        <v>43563</v>
      </c>
      <c r="AH103">
        <v>124</v>
      </c>
      <c r="AK103" s="36" t="str">
        <f t="shared" si="16"/>
        <v/>
      </c>
      <c r="AL103" t="str">
        <f t="shared" si="21"/>
        <v/>
      </c>
      <c r="AM103">
        <v>19</v>
      </c>
      <c r="AN103">
        <f t="shared" si="17"/>
        <v>37</v>
      </c>
      <c r="AO103" t="str">
        <f t="shared" si="18"/>
        <v>2.3.---21.3.---8.4.</v>
      </c>
      <c r="AP103" t="str">
        <f t="shared" si="19"/>
        <v>Ampuhaukka</v>
      </c>
      <c r="AQ103" t="str">
        <f t="shared" si="22"/>
        <v>(2.3.---21.3.---8.4., 19/21)</v>
      </c>
    </row>
    <row r="104" spans="1:43" x14ac:dyDescent="0.2">
      <c r="A104" s="1"/>
      <c r="B104" s="9">
        <f t="shared" si="23"/>
        <v>100</v>
      </c>
      <c r="C104" s="10"/>
      <c r="D104" s="9" t="s">
        <v>98</v>
      </c>
      <c r="E104" s="10"/>
      <c r="F104" s="11">
        <v>43590</v>
      </c>
      <c r="G104" s="12">
        <v>43591</v>
      </c>
      <c r="H104" s="11">
        <v>43589</v>
      </c>
      <c r="I104" s="12">
        <v>43586</v>
      </c>
      <c r="J104" s="11">
        <v>43572</v>
      </c>
      <c r="K104" s="12">
        <v>43586</v>
      </c>
      <c r="L104" s="11">
        <v>43586</v>
      </c>
      <c r="M104" s="12">
        <v>43585</v>
      </c>
      <c r="N104" s="11">
        <v>43579</v>
      </c>
      <c r="O104" s="12">
        <v>43577</v>
      </c>
      <c r="P104" s="11">
        <v>43588</v>
      </c>
      <c r="Q104" s="12">
        <v>43579</v>
      </c>
      <c r="R104" s="11">
        <v>43573</v>
      </c>
      <c r="S104" s="12">
        <v>43577</v>
      </c>
      <c r="T104" s="11">
        <v>43574</v>
      </c>
      <c r="U104" s="12">
        <v>43586</v>
      </c>
      <c r="V104" s="11">
        <v>43583</v>
      </c>
      <c r="W104" s="12">
        <v>43567</v>
      </c>
      <c r="X104" s="11">
        <v>43580</v>
      </c>
      <c r="Y104" s="12">
        <v>43581</v>
      </c>
      <c r="Z104" s="11">
        <v>43577</v>
      </c>
      <c r="AA104" s="12">
        <v>43574</v>
      </c>
      <c r="AB104" s="11">
        <v>43586</v>
      </c>
      <c r="AC104" s="12">
        <v>43568</v>
      </c>
      <c r="AD104" s="34"/>
      <c r="AE104" s="33">
        <f t="shared" si="13"/>
        <v>43567</v>
      </c>
      <c r="AF104" s="33">
        <f t="shared" si="14"/>
        <v>43580.5</v>
      </c>
      <c r="AG104" s="33">
        <f t="shared" si="15"/>
        <v>43591</v>
      </c>
      <c r="AH104">
        <v>125</v>
      </c>
      <c r="AK104" s="36" t="str">
        <f t="shared" si="16"/>
        <v/>
      </c>
      <c r="AL104" t="str">
        <f t="shared" si="21"/>
        <v/>
      </c>
      <c r="AM104" t="s">
        <v>393</v>
      </c>
      <c r="AN104">
        <f t="shared" si="17"/>
        <v>24</v>
      </c>
      <c r="AO104" t="str">
        <f t="shared" si="18"/>
        <v>12.4.---25.4.---6.5.</v>
      </c>
      <c r="AP104" t="str">
        <f t="shared" si="19"/>
        <v>Nuolihaukka</v>
      </c>
      <c r="AQ104" t="str">
        <f t="shared" si="22"/>
        <v>(12.4.---25.4.---6.5.)</v>
      </c>
    </row>
    <row r="105" spans="1:43" x14ac:dyDescent="0.2">
      <c r="A105" s="1"/>
      <c r="B105" s="9">
        <f t="shared" si="23"/>
        <v>101</v>
      </c>
      <c r="C105" s="10"/>
      <c r="D105" s="13" t="s">
        <v>99</v>
      </c>
      <c r="E105" s="14"/>
      <c r="F105" s="11"/>
      <c r="G105" s="12"/>
      <c r="H105" s="11"/>
      <c r="I105" s="12">
        <v>43784</v>
      </c>
      <c r="J105" s="11">
        <v>43552</v>
      </c>
      <c r="K105" s="12">
        <v>43739</v>
      </c>
      <c r="L105" s="11">
        <v>43557</v>
      </c>
      <c r="M105" s="12">
        <v>43561</v>
      </c>
      <c r="N105" s="11">
        <v>43595</v>
      </c>
      <c r="O105" s="12">
        <v>43603</v>
      </c>
      <c r="P105" s="11">
        <v>43773</v>
      </c>
      <c r="Q105" s="12">
        <v>43744</v>
      </c>
      <c r="R105" s="11">
        <v>43740</v>
      </c>
      <c r="S105" s="12"/>
      <c r="T105" s="11">
        <v>43743</v>
      </c>
      <c r="U105" s="12">
        <v>43599</v>
      </c>
      <c r="V105" s="11"/>
      <c r="W105" s="12"/>
      <c r="X105" s="11">
        <v>43486</v>
      </c>
      <c r="Y105" s="12">
        <v>43502</v>
      </c>
      <c r="Z105" s="11">
        <v>43567</v>
      </c>
      <c r="AA105" s="12"/>
      <c r="AB105" s="11">
        <v>43500</v>
      </c>
      <c r="AC105" s="12">
        <v>43740</v>
      </c>
      <c r="AD105" s="34"/>
      <c r="AE105" s="33">
        <f t="shared" si="13"/>
        <v>43486</v>
      </c>
      <c r="AF105" s="33">
        <f t="shared" si="14"/>
        <v>43599</v>
      </c>
      <c r="AG105" s="33">
        <f t="shared" si="15"/>
        <v>43784</v>
      </c>
      <c r="AH105">
        <v>128</v>
      </c>
      <c r="AK105" s="36" t="str">
        <f t="shared" si="16"/>
        <v/>
      </c>
      <c r="AL105">
        <f t="shared" si="21"/>
        <v>2</v>
      </c>
      <c r="AM105">
        <v>2</v>
      </c>
      <c r="AN105">
        <f t="shared" si="17"/>
        <v>298</v>
      </c>
      <c r="AO105" t="str">
        <f t="shared" si="18"/>
        <v>21.1.---14.5.---15.11.</v>
      </c>
      <c r="AP105" t="str">
        <f t="shared" si="19"/>
        <v>Tunturihaukka</v>
      </c>
      <c r="AQ105" t="str">
        <f t="shared" si="22"/>
        <v>(21.1.---14.5.---15.11., 2/21)</v>
      </c>
    </row>
    <row r="106" spans="1:43" x14ac:dyDescent="0.2">
      <c r="A106" s="1"/>
      <c r="B106" s="9">
        <f t="shared" si="23"/>
        <v>102</v>
      </c>
      <c r="C106" s="10"/>
      <c r="D106" s="9" t="s">
        <v>100</v>
      </c>
      <c r="E106" s="10"/>
      <c r="F106" s="11">
        <v>43563</v>
      </c>
      <c r="G106" s="12">
        <v>43560</v>
      </c>
      <c r="H106" s="11">
        <v>43552</v>
      </c>
      <c r="I106" s="12">
        <v>43561</v>
      </c>
      <c r="J106" s="11">
        <v>43557</v>
      </c>
      <c r="K106" s="12">
        <v>43557</v>
      </c>
      <c r="L106" s="11">
        <v>43562</v>
      </c>
      <c r="M106" s="12">
        <v>43557</v>
      </c>
      <c r="N106" s="11">
        <v>43555</v>
      </c>
      <c r="O106" s="12">
        <v>43559</v>
      </c>
      <c r="P106" s="11">
        <v>43557</v>
      </c>
      <c r="Q106" s="12">
        <v>43557</v>
      </c>
      <c r="R106" s="11">
        <v>43556</v>
      </c>
      <c r="S106" s="12">
        <v>43568</v>
      </c>
      <c r="T106" s="11">
        <v>43560</v>
      </c>
      <c r="U106" s="12">
        <v>43555</v>
      </c>
      <c r="V106" s="11">
        <v>43553</v>
      </c>
      <c r="W106" s="12">
        <v>43559</v>
      </c>
      <c r="X106" s="11">
        <v>43567</v>
      </c>
      <c r="Y106" s="12">
        <v>43553</v>
      </c>
      <c r="Z106" s="11">
        <v>43550</v>
      </c>
      <c r="AA106" s="12">
        <v>43560</v>
      </c>
      <c r="AB106" s="11">
        <v>43567</v>
      </c>
      <c r="AC106" s="12">
        <v>43562</v>
      </c>
      <c r="AD106" s="34"/>
      <c r="AE106" s="33">
        <f t="shared" si="13"/>
        <v>43550</v>
      </c>
      <c r="AF106" s="33">
        <f t="shared" si="14"/>
        <v>43558</v>
      </c>
      <c r="AG106" s="33">
        <f t="shared" si="15"/>
        <v>43568</v>
      </c>
      <c r="AH106">
        <v>129</v>
      </c>
      <c r="AK106" s="36" t="str">
        <f t="shared" si="16"/>
        <v/>
      </c>
      <c r="AL106" t="str">
        <f t="shared" si="21"/>
        <v/>
      </c>
      <c r="AM106" t="s">
        <v>393</v>
      </c>
      <c r="AN106">
        <f t="shared" si="17"/>
        <v>18</v>
      </c>
      <c r="AO106" t="str">
        <f t="shared" si="18"/>
        <v>26.3.---3.4.---13.4.</v>
      </c>
      <c r="AP106" t="str">
        <f t="shared" si="19"/>
        <v>Muuttohaukka</v>
      </c>
      <c r="AQ106" t="str">
        <f t="shared" si="22"/>
        <v>(26.3.---3.4.---13.4.)</v>
      </c>
    </row>
    <row r="107" spans="1:43" x14ac:dyDescent="0.2">
      <c r="A107" s="1"/>
      <c r="B107" s="9">
        <f t="shared" si="23"/>
        <v>103</v>
      </c>
      <c r="C107" s="10"/>
      <c r="D107" s="9" t="s">
        <v>101</v>
      </c>
      <c r="E107" s="10"/>
      <c r="F107" s="11">
        <v>43571</v>
      </c>
      <c r="G107" s="12">
        <v>43597</v>
      </c>
      <c r="H107" s="11">
        <v>43591</v>
      </c>
      <c r="I107" s="12">
        <v>43595</v>
      </c>
      <c r="J107" s="11">
        <v>43591</v>
      </c>
      <c r="K107" s="12">
        <v>43580</v>
      </c>
      <c r="L107" s="11">
        <v>43581</v>
      </c>
      <c r="M107" s="12">
        <v>43576</v>
      </c>
      <c r="N107" s="11">
        <v>43575</v>
      </c>
      <c r="O107" s="12">
        <v>43584</v>
      </c>
      <c r="P107" s="11">
        <v>43587</v>
      </c>
      <c r="Q107" s="12">
        <v>43576</v>
      </c>
      <c r="R107" s="11">
        <v>43560</v>
      </c>
      <c r="S107" s="12">
        <v>43590</v>
      </c>
      <c r="T107" s="11">
        <v>43571</v>
      </c>
      <c r="U107" s="12">
        <v>43557</v>
      </c>
      <c r="V107" s="11">
        <v>43576</v>
      </c>
      <c r="W107" s="12">
        <v>43591</v>
      </c>
      <c r="X107" s="11">
        <v>43585</v>
      </c>
      <c r="Y107" s="12">
        <v>43574</v>
      </c>
      <c r="Z107" s="11">
        <v>43578</v>
      </c>
      <c r="AA107" s="12">
        <v>43553</v>
      </c>
      <c r="AB107" s="11">
        <v>43567</v>
      </c>
      <c r="AC107" s="12">
        <v>43567</v>
      </c>
      <c r="AD107" s="34"/>
      <c r="AE107" s="33">
        <f t="shared" si="13"/>
        <v>43553</v>
      </c>
      <c r="AF107" s="33">
        <f t="shared" si="14"/>
        <v>43577</v>
      </c>
      <c r="AG107" s="33">
        <f t="shared" si="15"/>
        <v>43597</v>
      </c>
      <c r="AH107">
        <v>130</v>
      </c>
      <c r="AK107" s="36" t="str">
        <f t="shared" si="16"/>
        <v/>
      </c>
      <c r="AL107" t="str">
        <f t="shared" si="21"/>
        <v/>
      </c>
      <c r="AM107" t="s">
        <v>393</v>
      </c>
      <c r="AN107">
        <f t="shared" si="17"/>
        <v>44</v>
      </c>
      <c r="AO107" t="str">
        <f t="shared" si="18"/>
        <v>29.3.---22.4.---12.5.</v>
      </c>
      <c r="AP107" t="str">
        <f t="shared" si="19"/>
        <v>Luhtakana</v>
      </c>
      <c r="AQ107" t="str">
        <f t="shared" si="22"/>
        <v>(29.3.---22.4.---12.5.)</v>
      </c>
    </row>
    <row r="108" spans="1:43" x14ac:dyDescent="0.2">
      <c r="A108" s="1"/>
      <c r="B108" s="9">
        <f t="shared" si="23"/>
        <v>104</v>
      </c>
      <c r="C108" s="10"/>
      <c r="D108" s="9" t="s">
        <v>102</v>
      </c>
      <c r="E108" s="10"/>
      <c r="F108" s="11">
        <v>43579</v>
      </c>
      <c r="G108" s="12">
        <v>43596</v>
      </c>
      <c r="H108" s="11">
        <v>43583</v>
      </c>
      <c r="I108" s="12">
        <v>43595</v>
      </c>
      <c r="J108" s="11">
        <v>43586</v>
      </c>
      <c r="K108" s="12">
        <v>43580</v>
      </c>
      <c r="L108" s="11">
        <v>43592</v>
      </c>
      <c r="M108" s="12">
        <v>43598</v>
      </c>
      <c r="N108" s="11">
        <v>43595</v>
      </c>
      <c r="O108" s="12">
        <v>43596</v>
      </c>
      <c r="P108" s="11">
        <v>43604</v>
      </c>
      <c r="Q108" s="12">
        <v>43589</v>
      </c>
      <c r="R108" s="11">
        <v>43612</v>
      </c>
      <c r="S108" s="12">
        <v>43597</v>
      </c>
      <c r="T108" s="11">
        <v>43592</v>
      </c>
      <c r="U108" s="12">
        <v>43585</v>
      </c>
      <c r="V108" s="11">
        <v>43586</v>
      </c>
      <c r="W108" s="12">
        <v>43598</v>
      </c>
      <c r="X108" s="11">
        <v>43593</v>
      </c>
      <c r="Y108" s="12">
        <v>43580</v>
      </c>
      <c r="Z108" s="11">
        <v>43592</v>
      </c>
      <c r="AA108" s="12">
        <v>43589</v>
      </c>
      <c r="AB108" s="11">
        <v>43594</v>
      </c>
      <c r="AC108" s="12">
        <v>43588</v>
      </c>
      <c r="AD108" s="34"/>
      <c r="AE108" s="33">
        <f t="shared" si="13"/>
        <v>43579</v>
      </c>
      <c r="AF108" s="33">
        <f t="shared" si="14"/>
        <v>43592</v>
      </c>
      <c r="AG108" s="33">
        <f t="shared" si="15"/>
        <v>43612</v>
      </c>
      <c r="AH108">
        <v>131</v>
      </c>
      <c r="AK108" s="36" t="str">
        <f t="shared" si="16"/>
        <v/>
      </c>
      <c r="AL108" t="str">
        <f t="shared" si="21"/>
        <v/>
      </c>
      <c r="AM108" t="s">
        <v>393</v>
      </c>
      <c r="AN108">
        <f t="shared" si="17"/>
        <v>33</v>
      </c>
      <c r="AO108" t="str">
        <f t="shared" si="18"/>
        <v>24.4.---7.5.---27.5.</v>
      </c>
      <c r="AP108" t="str">
        <f t="shared" si="19"/>
        <v>Luhtahuitti</v>
      </c>
      <c r="AQ108" t="str">
        <f t="shared" si="22"/>
        <v>(24.4.---7.5.---27.5.)</v>
      </c>
    </row>
    <row r="109" spans="1:43" x14ac:dyDescent="0.2">
      <c r="A109" s="1"/>
      <c r="B109" s="9">
        <f t="shared" si="23"/>
        <v>105</v>
      </c>
      <c r="C109" s="10"/>
      <c r="D109" s="13" t="s">
        <v>103</v>
      </c>
      <c r="E109" s="14"/>
      <c r="F109" s="11"/>
      <c r="G109" s="12"/>
      <c r="H109" s="11"/>
      <c r="I109" s="12"/>
      <c r="J109" s="11">
        <v>43624</v>
      </c>
      <c r="K109" s="12"/>
      <c r="L109" s="11"/>
      <c r="M109" s="12"/>
      <c r="N109" s="11"/>
      <c r="O109" s="12"/>
      <c r="P109" s="11"/>
      <c r="Q109" s="12"/>
      <c r="R109" s="11"/>
      <c r="S109" s="12"/>
      <c r="T109" s="11"/>
      <c r="U109" s="12">
        <v>43630</v>
      </c>
      <c r="V109" s="11"/>
      <c r="W109" s="12"/>
      <c r="X109" s="11"/>
      <c r="Y109" s="12"/>
      <c r="Z109" s="11"/>
      <c r="AA109" s="12"/>
      <c r="AB109" s="11">
        <v>43639</v>
      </c>
      <c r="AC109" s="12" t="s">
        <v>393</v>
      </c>
      <c r="AD109" s="34"/>
      <c r="AE109" s="33">
        <f t="shared" si="13"/>
        <v>43624</v>
      </c>
      <c r="AF109" s="33">
        <f t="shared" si="14"/>
        <v>43630</v>
      </c>
      <c r="AG109" s="33">
        <f t="shared" si="15"/>
        <v>43639</v>
      </c>
      <c r="AH109">
        <v>132</v>
      </c>
      <c r="AK109" s="36" t="str">
        <f t="shared" si="16"/>
        <v/>
      </c>
      <c r="AL109" t="str">
        <f t="shared" si="21"/>
        <v/>
      </c>
      <c r="AM109" t="s">
        <v>393</v>
      </c>
      <c r="AN109">
        <f t="shared" si="17"/>
        <v>15</v>
      </c>
      <c r="AO109" t="str">
        <f t="shared" si="18"/>
        <v>8.6.---14.6.---23.6.</v>
      </c>
      <c r="AP109" t="str">
        <f t="shared" si="19"/>
        <v>Pikkuhuitti</v>
      </c>
      <c r="AQ109" t="str">
        <f t="shared" si="22"/>
        <v>(8.6.---14.6.---23.6.)</v>
      </c>
    </row>
    <row r="110" spans="1:43" x14ac:dyDescent="0.2">
      <c r="A110" s="1"/>
      <c r="B110" s="9">
        <f t="shared" si="23"/>
        <v>106</v>
      </c>
      <c r="C110" s="10"/>
      <c r="D110" s="9" t="s">
        <v>104</v>
      </c>
      <c r="E110" s="10"/>
      <c r="F110" s="11">
        <v>43599</v>
      </c>
      <c r="G110" s="12">
        <v>43601</v>
      </c>
      <c r="H110" s="11">
        <v>43604</v>
      </c>
      <c r="I110" s="12">
        <v>43610</v>
      </c>
      <c r="J110" s="11">
        <v>43618</v>
      </c>
      <c r="K110" s="12">
        <v>43612</v>
      </c>
      <c r="L110" s="11">
        <v>43607</v>
      </c>
      <c r="M110" s="12">
        <v>43606</v>
      </c>
      <c r="N110" s="11">
        <v>43615</v>
      </c>
      <c r="O110" s="12">
        <v>43608</v>
      </c>
      <c r="P110" s="11">
        <v>43603</v>
      </c>
      <c r="Q110" s="12">
        <v>43614</v>
      </c>
      <c r="R110" s="11">
        <v>43612</v>
      </c>
      <c r="S110" s="12">
        <v>43602</v>
      </c>
      <c r="T110" s="11">
        <v>43596</v>
      </c>
      <c r="U110" s="12">
        <v>43579</v>
      </c>
      <c r="V110" s="11">
        <v>43607</v>
      </c>
      <c r="W110" s="12">
        <v>43621</v>
      </c>
      <c r="X110" s="11">
        <v>43604</v>
      </c>
      <c r="Y110" s="12">
        <v>43609</v>
      </c>
      <c r="Z110" s="11">
        <v>43612</v>
      </c>
      <c r="AA110" s="12">
        <v>43615</v>
      </c>
      <c r="AB110" s="11">
        <v>43606</v>
      </c>
      <c r="AC110" s="12">
        <v>43604</v>
      </c>
      <c r="AD110" s="34"/>
      <c r="AE110" s="33">
        <f t="shared" si="13"/>
        <v>43579</v>
      </c>
      <c r="AF110" s="33">
        <f t="shared" si="14"/>
        <v>43607</v>
      </c>
      <c r="AG110" s="33">
        <f t="shared" si="15"/>
        <v>43621</v>
      </c>
      <c r="AH110">
        <v>134</v>
      </c>
      <c r="AK110" s="36" t="str">
        <f t="shared" si="16"/>
        <v/>
      </c>
      <c r="AL110" t="str">
        <f t="shared" si="21"/>
        <v/>
      </c>
      <c r="AM110" t="s">
        <v>393</v>
      </c>
      <c r="AN110">
        <f t="shared" si="17"/>
        <v>42</v>
      </c>
      <c r="AO110" t="str">
        <f t="shared" si="18"/>
        <v>24.4.---22.5.---5.6.</v>
      </c>
      <c r="AP110" t="str">
        <f t="shared" si="19"/>
        <v>Ruisrääkkä</v>
      </c>
      <c r="AQ110" t="str">
        <f t="shared" si="22"/>
        <v>(24.4.---22.5.---5.6.)</v>
      </c>
    </row>
    <row r="111" spans="1:43" x14ac:dyDescent="0.2">
      <c r="A111" s="1"/>
      <c r="B111" s="9">
        <f t="shared" si="23"/>
        <v>107</v>
      </c>
      <c r="C111" s="10"/>
      <c r="D111" s="9" t="s">
        <v>105</v>
      </c>
      <c r="E111" s="10"/>
      <c r="F111" s="11"/>
      <c r="G111" s="12"/>
      <c r="H111" s="11"/>
      <c r="I111" s="12">
        <v>43583</v>
      </c>
      <c r="J111" s="11">
        <v>43580</v>
      </c>
      <c r="K111" s="12">
        <v>43573</v>
      </c>
      <c r="L111" s="11">
        <v>43614</v>
      </c>
      <c r="M111" s="12">
        <v>43619</v>
      </c>
      <c r="N111" s="11">
        <v>43593</v>
      </c>
      <c r="O111" s="12">
        <v>43566</v>
      </c>
      <c r="P111" s="11">
        <v>43565</v>
      </c>
      <c r="Q111" s="12">
        <v>43562</v>
      </c>
      <c r="R111" s="11">
        <v>43567</v>
      </c>
      <c r="S111" s="12">
        <v>43577</v>
      </c>
      <c r="T111" s="11">
        <v>43587</v>
      </c>
      <c r="U111" s="12">
        <f>IF(AG1,DATE(2019,1,1),DATE(2019,5,20))</f>
        <v>43605</v>
      </c>
      <c r="V111" s="11">
        <v>43466</v>
      </c>
      <c r="W111" s="12"/>
      <c r="X111" s="11">
        <v>43758</v>
      </c>
      <c r="Y111" s="12">
        <v>43580</v>
      </c>
      <c r="Z111" s="11">
        <v>43754</v>
      </c>
      <c r="AA111" s="12">
        <f>IF(AG1,DATE(2019,1,3),DATE(2019,4,25))</f>
        <v>43580</v>
      </c>
      <c r="AB111" s="11">
        <v>43581</v>
      </c>
      <c r="AC111" s="12">
        <v>43574</v>
      </c>
      <c r="AD111" s="34"/>
      <c r="AE111" s="33">
        <f t="shared" si="13"/>
        <v>43466</v>
      </c>
      <c r="AF111" s="33">
        <f t="shared" si="14"/>
        <v>43580</v>
      </c>
      <c r="AG111" s="33">
        <f t="shared" si="15"/>
        <v>43758</v>
      </c>
      <c r="AH111">
        <v>135</v>
      </c>
      <c r="AK111" s="36" t="str">
        <f t="shared" si="16"/>
        <v/>
      </c>
      <c r="AL111">
        <f t="shared" si="21"/>
        <v>1</v>
      </c>
      <c r="AM111">
        <v>2</v>
      </c>
      <c r="AN111">
        <f t="shared" si="17"/>
        <v>292</v>
      </c>
      <c r="AO111" t="str">
        <f t="shared" si="18"/>
        <v>1.1.---25.4.---20.10.</v>
      </c>
      <c r="AP111" t="str">
        <f t="shared" si="19"/>
        <v>Liejukana</v>
      </c>
      <c r="AQ111" t="str">
        <f t="shared" si="22"/>
        <v>(1.1.---25.4.---20.10., 2/21)</v>
      </c>
    </row>
    <row r="112" spans="1:43" x14ac:dyDescent="0.2">
      <c r="A112" s="1"/>
      <c r="B112" s="9">
        <f t="shared" si="23"/>
        <v>108</v>
      </c>
      <c r="C112" s="10"/>
      <c r="D112" s="9" t="s">
        <v>106</v>
      </c>
      <c r="E112" s="10"/>
      <c r="F112" s="11">
        <v>43565</v>
      </c>
      <c r="G112" s="12">
        <v>43555</v>
      </c>
      <c r="H112" s="11">
        <v>43557</v>
      </c>
      <c r="I112" s="12">
        <v>43535</v>
      </c>
      <c r="J112" s="11">
        <v>43559</v>
      </c>
      <c r="K112" s="12">
        <v>43558</v>
      </c>
      <c r="L112" s="11">
        <v>43561</v>
      </c>
      <c r="M112" s="12">
        <v>43555</v>
      </c>
      <c r="N112" s="11">
        <v>43559</v>
      </c>
      <c r="O112" s="12">
        <v>43561</v>
      </c>
      <c r="P112" s="11">
        <v>43561</v>
      </c>
      <c r="Q112" s="12">
        <v>43564</v>
      </c>
      <c r="R112" s="11">
        <v>43566</v>
      </c>
      <c r="S112" s="12">
        <v>43567</v>
      </c>
      <c r="T112" s="11">
        <v>43559</v>
      </c>
      <c r="U112" s="12">
        <v>43563</v>
      </c>
      <c r="V112" s="11">
        <v>43559</v>
      </c>
      <c r="W112" s="12">
        <v>43561</v>
      </c>
      <c r="X112" s="11">
        <v>43576</v>
      </c>
      <c r="Y112" s="12">
        <v>43571</v>
      </c>
      <c r="Z112" s="11">
        <v>43563</v>
      </c>
      <c r="AA112" s="12">
        <v>43567</v>
      </c>
      <c r="AB112" s="11">
        <v>43567</v>
      </c>
      <c r="AC112" s="12">
        <v>43568</v>
      </c>
      <c r="AD112" s="34"/>
      <c r="AE112" s="33">
        <f t="shared" si="13"/>
        <v>43535</v>
      </c>
      <c r="AF112" s="33">
        <f t="shared" si="14"/>
        <v>43561</v>
      </c>
      <c r="AG112" s="33">
        <f t="shared" si="15"/>
        <v>43576</v>
      </c>
      <c r="AH112">
        <v>137</v>
      </c>
      <c r="AK112" s="36" t="str">
        <f t="shared" si="16"/>
        <v/>
      </c>
      <c r="AL112" t="str">
        <f t="shared" si="21"/>
        <v/>
      </c>
      <c r="AM112" t="s">
        <v>393</v>
      </c>
      <c r="AN112">
        <f t="shared" si="17"/>
        <v>41</v>
      </c>
      <c r="AO112" t="str">
        <f t="shared" si="18"/>
        <v>11.3.---6.4.---21.4.</v>
      </c>
      <c r="AP112" t="str">
        <f t="shared" si="19"/>
        <v>Nokikana</v>
      </c>
      <c r="AQ112" t="str">
        <f t="shared" si="22"/>
        <v>(11.3.---6.4.---21.4.)</v>
      </c>
    </row>
    <row r="113" spans="1:43" x14ac:dyDescent="0.2">
      <c r="A113" s="1"/>
      <c r="B113" s="9">
        <f t="shared" si="23"/>
        <v>109</v>
      </c>
      <c r="C113" s="10"/>
      <c r="D113" s="9" t="s">
        <v>107</v>
      </c>
      <c r="E113" s="10"/>
      <c r="F113" s="11">
        <v>43562</v>
      </c>
      <c r="G113" s="12">
        <v>43560</v>
      </c>
      <c r="H113" s="11">
        <v>43551</v>
      </c>
      <c r="I113" s="12">
        <v>43549</v>
      </c>
      <c r="J113" s="11">
        <v>43558</v>
      </c>
      <c r="K113" s="12">
        <v>43558</v>
      </c>
      <c r="L113" s="11">
        <v>43562</v>
      </c>
      <c r="M113" s="12">
        <v>43552</v>
      </c>
      <c r="N113" s="11">
        <v>43554</v>
      </c>
      <c r="O113" s="12">
        <f>IF(AG1,DATE(2019,1,2),DATE(2019,3,30))</f>
        <v>43554</v>
      </c>
      <c r="P113" s="11">
        <v>43556</v>
      </c>
      <c r="Q113" s="12">
        <f>IF(AG1,DATE(2019,1,1),DATE(2019,4,2))</f>
        <v>43557</v>
      </c>
      <c r="R113" s="11">
        <v>43552</v>
      </c>
      <c r="S113" s="12">
        <v>43567</v>
      </c>
      <c r="T113" s="11">
        <v>43534</v>
      </c>
      <c r="U113" s="12">
        <v>43538</v>
      </c>
      <c r="V113" s="11">
        <v>43534</v>
      </c>
      <c r="W113" s="12">
        <v>43550</v>
      </c>
      <c r="X113" s="11">
        <f>IF(AG1,DATE(2019,1,3),DATE(2019,4,5))</f>
        <v>43560</v>
      </c>
      <c r="Y113" s="12">
        <v>43554</v>
      </c>
      <c r="Z113" s="11">
        <v>43547</v>
      </c>
      <c r="AA113" s="12">
        <v>43552</v>
      </c>
      <c r="AB113" s="11">
        <f>IF(AF1,DATE(2019,1,1),DATE(2019,4,1))</f>
        <v>43556</v>
      </c>
      <c r="AC113" s="12">
        <v>43562</v>
      </c>
      <c r="AD113" s="34"/>
      <c r="AE113" s="33">
        <f t="shared" si="13"/>
        <v>43534</v>
      </c>
      <c r="AF113" s="33">
        <f t="shared" si="14"/>
        <v>43554</v>
      </c>
      <c r="AG113" s="33">
        <f t="shared" si="15"/>
        <v>43567</v>
      </c>
      <c r="AH113">
        <v>138</v>
      </c>
      <c r="AK113" s="36" t="str">
        <f t="shared" si="16"/>
        <v/>
      </c>
      <c r="AL113" t="str">
        <f t="shared" si="21"/>
        <v/>
      </c>
      <c r="AM113">
        <v>3</v>
      </c>
      <c r="AN113">
        <f t="shared" si="17"/>
        <v>33</v>
      </c>
      <c r="AO113" t="str">
        <f t="shared" si="18"/>
        <v>10.3.---30.3.---12.4.</v>
      </c>
      <c r="AP113" t="str">
        <f t="shared" si="19"/>
        <v>Kurki</v>
      </c>
      <c r="AQ113" t="str">
        <f t="shared" si="22"/>
        <v>(10.3.---30.3.---12.4., 3/21)</v>
      </c>
    </row>
    <row r="114" spans="1:43" x14ac:dyDescent="0.2">
      <c r="A114" s="1"/>
      <c r="B114" s="9">
        <f t="shared" si="23"/>
        <v>110</v>
      </c>
      <c r="C114" s="10"/>
      <c r="D114" s="15" t="s">
        <v>108</v>
      </c>
      <c r="E114" s="16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>
        <v>43592</v>
      </c>
      <c r="T114" s="11"/>
      <c r="U114" s="12"/>
      <c r="V114" s="11"/>
      <c r="W114" s="12"/>
      <c r="X114" s="11"/>
      <c r="Y114" s="12"/>
      <c r="Z114" s="11"/>
      <c r="AA114" s="12">
        <v>43743</v>
      </c>
      <c r="AB114" s="11">
        <v>43725</v>
      </c>
      <c r="AC114" s="12" t="s">
        <v>393</v>
      </c>
      <c r="AD114" s="34"/>
      <c r="AE114" s="33">
        <f t="shared" si="13"/>
        <v>43592</v>
      </c>
      <c r="AF114" s="33">
        <f t="shared" si="14"/>
        <v>43725</v>
      </c>
      <c r="AG114" s="33">
        <f t="shared" si="15"/>
        <v>43743</v>
      </c>
      <c r="AH114">
        <v>139</v>
      </c>
      <c r="AK114" s="36" t="str">
        <f t="shared" si="16"/>
        <v/>
      </c>
      <c r="AL114" t="str">
        <f t="shared" si="21"/>
        <v/>
      </c>
      <c r="AM114" t="s">
        <v>393</v>
      </c>
      <c r="AN114">
        <f t="shared" si="17"/>
        <v>151</v>
      </c>
      <c r="AO114" t="str">
        <f t="shared" si="18"/>
        <v>7.5.---17.9.---5.10.</v>
      </c>
      <c r="AP114" t="str">
        <f t="shared" si="19"/>
        <v>Hietakurki</v>
      </c>
      <c r="AQ114" t="str">
        <f t="shared" si="22"/>
        <v>(7.5.---17.9.---5.10.)</v>
      </c>
    </row>
    <row r="115" spans="1:43" x14ac:dyDescent="0.2">
      <c r="A115" s="1"/>
      <c r="B115" s="9">
        <f t="shared" si="23"/>
        <v>111</v>
      </c>
      <c r="C115" s="10"/>
      <c r="D115" s="15" t="s">
        <v>109</v>
      </c>
      <c r="E115" s="16"/>
      <c r="F115" s="11"/>
      <c r="G115" s="12"/>
      <c r="H115" s="11"/>
      <c r="I115" s="12"/>
      <c r="J115" s="11"/>
      <c r="K115" s="12"/>
      <c r="L115" s="11"/>
      <c r="M115" s="12"/>
      <c r="N115" s="11"/>
      <c r="O115" s="12">
        <v>43616</v>
      </c>
      <c r="P115" s="11"/>
      <c r="Q115" s="12"/>
      <c r="R115" s="11"/>
      <c r="S115" s="12"/>
      <c r="T115" s="11"/>
      <c r="U115" s="12">
        <v>43572</v>
      </c>
      <c r="V115" s="11"/>
      <c r="W115" s="12"/>
      <c r="X115" s="11"/>
      <c r="Y115" s="12"/>
      <c r="Z115" s="11"/>
      <c r="AA115" s="12"/>
      <c r="AB115" s="11"/>
      <c r="AC115" s="12" t="s">
        <v>393</v>
      </c>
      <c r="AD115" s="34"/>
      <c r="AE115" s="33">
        <f t="shared" si="13"/>
        <v>43572</v>
      </c>
      <c r="AF115" s="33">
        <f t="shared" si="14"/>
        <v>43594</v>
      </c>
      <c r="AG115" s="33">
        <f t="shared" si="15"/>
        <v>43616</v>
      </c>
      <c r="AH115">
        <v>140</v>
      </c>
      <c r="AK115" s="36" t="str">
        <f t="shared" si="16"/>
        <v/>
      </c>
      <c r="AL115" t="str">
        <f t="shared" si="21"/>
        <v/>
      </c>
      <c r="AM115" t="s">
        <v>393</v>
      </c>
      <c r="AN115">
        <f t="shared" si="17"/>
        <v>44</v>
      </c>
      <c r="AO115" t="str">
        <f t="shared" si="18"/>
        <v>17.4.---9.5.---31.5.</v>
      </c>
      <c r="AP115" t="str">
        <f t="shared" si="19"/>
        <v>Neitokurki</v>
      </c>
      <c r="AQ115" t="str">
        <f t="shared" si="22"/>
        <v>(17.4.---9.5.---31.5.)</v>
      </c>
    </row>
    <row r="116" spans="1:43" x14ac:dyDescent="0.2">
      <c r="A116" s="1"/>
      <c r="B116" s="9">
        <f t="shared" si="23"/>
        <v>112</v>
      </c>
      <c r="C116" s="10"/>
      <c r="D116" s="15" t="s">
        <v>110</v>
      </c>
      <c r="E116" s="16"/>
      <c r="F116" s="11"/>
      <c r="G116" s="12"/>
      <c r="H116" s="11"/>
      <c r="I116" s="12"/>
      <c r="J116" s="11"/>
      <c r="K116" s="12"/>
      <c r="L116" s="11"/>
      <c r="M116" s="12"/>
      <c r="N116" s="11"/>
      <c r="O116" s="12"/>
      <c r="P116" s="11"/>
      <c r="Q116" s="12"/>
      <c r="R116" s="11"/>
      <c r="S116" s="12"/>
      <c r="T116" s="11"/>
      <c r="U116" s="12"/>
      <c r="V116" s="11"/>
      <c r="W116" s="12"/>
      <c r="X116" s="11"/>
      <c r="Y116" s="12"/>
      <c r="Z116" s="11"/>
      <c r="AA116" s="12"/>
      <c r="AB116" s="11"/>
      <c r="AC116" s="12" t="s">
        <v>393</v>
      </c>
      <c r="AD116" s="34"/>
      <c r="AE116" s="33" t="str">
        <f t="shared" si="13"/>
        <v/>
      </c>
      <c r="AF116" s="33" t="str">
        <f t="shared" si="14"/>
        <v/>
      </c>
      <c r="AG116" s="33" t="str">
        <f t="shared" si="15"/>
        <v/>
      </c>
      <c r="AH116">
        <v>143</v>
      </c>
      <c r="AK116" s="36" t="str">
        <f t="shared" si="16"/>
        <v/>
      </c>
      <c r="AL116" t="str">
        <f t="shared" si="21"/>
        <v/>
      </c>
      <c r="AM116" t="s">
        <v>393</v>
      </c>
      <c r="AN116" t="e">
        <f t="shared" si="17"/>
        <v>#VALUE!</v>
      </c>
      <c r="AO116" t="str">
        <f t="shared" si="18"/>
        <v>------</v>
      </c>
      <c r="AP116" t="str">
        <f t="shared" si="19"/>
        <v>Isotrappi</v>
      </c>
      <c r="AQ116" t="str">
        <f t="shared" si="22"/>
        <v>(------)</v>
      </c>
    </row>
    <row r="117" spans="1:43" x14ac:dyDescent="0.2">
      <c r="A117" s="1"/>
      <c r="B117" s="9">
        <f t="shared" si="23"/>
        <v>113</v>
      </c>
      <c r="C117" s="10"/>
      <c r="D117" s="15" t="s">
        <v>111</v>
      </c>
      <c r="E117" s="16"/>
      <c r="F117" s="11"/>
      <c r="G117" s="12"/>
      <c r="H117" s="11"/>
      <c r="I117" s="12"/>
      <c r="J117" s="11"/>
      <c r="K117" s="12"/>
      <c r="L117" s="11"/>
      <c r="M117" s="12"/>
      <c r="N117" s="11"/>
      <c r="O117" s="12"/>
      <c r="P117" s="11"/>
      <c r="Q117" s="12"/>
      <c r="R117" s="11"/>
      <c r="S117" s="12"/>
      <c r="T117" s="11"/>
      <c r="U117" s="12"/>
      <c r="V117" s="11"/>
      <c r="W117" s="12"/>
      <c r="X117" s="11"/>
      <c r="Y117" s="12"/>
      <c r="Z117" s="11"/>
      <c r="AA117" s="12"/>
      <c r="AB117" s="11"/>
      <c r="AC117" s="12" t="s">
        <v>393</v>
      </c>
      <c r="AD117" s="34"/>
      <c r="AE117" s="33" t="str">
        <f t="shared" si="13"/>
        <v/>
      </c>
      <c r="AF117" s="33" t="str">
        <f t="shared" si="14"/>
        <v/>
      </c>
      <c r="AG117" s="33" t="str">
        <f t="shared" si="15"/>
        <v/>
      </c>
      <c r="AH117">
        <v>144</v>
      </c>
      <c r="AK117" s="36" t="str">
        <f t="shared" si="16"/>
        <v/>
      </c>
      <c r="AL117" t="str">
        <f t="shared" si="21"/>
        <v/>
      </c>
      <c r="AM117" t="s">
        <v>393</v>
      </c>
      <c r="AN117" t="e">
        <f t="shared" si="17"/>
        <v>#VALUE!</v>
      </c>
      <c r="AO117" t="str">
        <f t="shared" si="18"/>
        <v>------</v>
      </c>
      <c r="AP117" t="str">
        <f t="shared" si="19"/>
        <v>Paksujalka</v>
      </c>
      <c r="AQ117" t="str">
        <f t="shared" si="22"/>
        <v>(------)</v>
      </c>
    </row>
    <row r="118" spans="1:43" x14ac:dyDescent="0.2">
      <c r="A118" s="1"/>
      <c r="B118" s="9">
        <f t="shared" si="23"/>
        <v>114</v>
      </c>
      <c r="C118" s="10"/>
      <c r="D118" s="15" t="s">
        <v>112</v>
      </c>
      <c r="E118" s="16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>
        <v>43625</v>
      </c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 t="s">
        <v>393</v>
      </c>
      <c r="AD118" s="34"/>
      <c r="AE118" s="33">
        <f t="shared" si="13"/>
        <v>43625</v>
      </c>
      <c r="AF118" s="33">
        <f t="shared" si="14"/>
        <v>43625</v>
      </c>
      <c r="AG118" s="33">
        <f t="shared" si="15"/>
        <v>43625</v>
      </c>
      <c r="AH118">
        <v>145</v>
      </c>
      <c r="AK118" s="36" t="str">
        <f t="shared" si="16"/>
        <v/>
      </c>
      <c r="AL118" t="str">
        <f t="shared" si="21"/>
        <v/>
      </c>
      <c r="AM118" t="s">
        <v>393</v>
      </c>
      <c r="AN118">
        <f t="shared" si="17"/>
        <v>0</v>
      </c>
      <c r="AO118" t="str">
        <f t="shared" si="18"/>
        <v>9.6.---9.6.---9.6.</v>
      </c>
      <c r="AP118" t="str">
        <f t="shared" si="19"/>
        <v>Pitkäjalka</v>
      </c>
      <c r="AQ118" t="str">
        <f t="shared" si="22"/>
        <v>(9.6.---9.6.---9.6.)</v>
      </c>
    </row>
    <row r="119" spans="1:43" x14ac:dyDescent="0.2">
      <c r="A119" s="1"/>
      <c r="B119" s="9">
        <f t="shared" si="23"/>
        <v>115</v>
      </c>
      <c r="C119" s="10"/>
      <c r="D119" s="9" t="s">
        <v>113</v>
      </c>
      <c r="E119" s="10"/>
      <c r="F119" s="11"/>
      <c r="G119" s="12"/>
      <c r="H119" s="11"/>
      <c r="I119" s="12">
        <v>43596</v>
      </c>
      <c r="J119" s="11">
        <v>43591</v>
      </c>
      <c r="K119" s="12">
        <v>43589</v>
      </c>
      <c r="L119" s="11">
        <v>43593</v>
      </c>
      <c r="M119" s="12"/>
      <c r="N119" s="11">
        <v>43587</v>
      </c>
      <c r="O119" s="12"/>
      <c r="P119" s="11"/>
      <c r="Q119" s="12"/>
      <c r="R119" s="11">
        <v>43635</v>
      </c>
      <c r="S119" s="12"/>
      <c r="T119" s="11">
        <v>43597</v>
      </c>
      <c r="U119" s="12"/>
      <c r="V119" s="11">
        <v>43583</v>
      </c>
      <c r="W119" s="12">
        <v>43574</v>
      </c>
      <c r="X119" s="11">
        <v>43597</v>
      </c>
      <c r="Y119" s="12"/>
      <c r="Z119" s="11">
        <v>43588</v>
      </c>
      <c r="AA119" s="12">
        <v>43699</v>
      </c>
      <c r="AB119" s="11"/>
      <c r="AC119" s="12" t="s">
        <v>393</v>
      </c>
      <c r="AD119" s="34"/>
      <c r="AE119" s="33">
        <f t="shared" si="13"/>
        <v>43574</v>
      </c>
      <c r="AF119" s="33">
        <f t="shared" si="14"/>
        <v>43592</v>
      </c>
      <c r="AG119" s="33">
        <f t="shared" si="15"/>
        <v>43699</v>
      </c>
      <c r="AH119">
        <v>146</v>
      </c>
      <c r="AK119" s="36" t="str">
        <f t="shared" si="16"/>
        <v/>
      </c>
      <c r="AL119" t="str">
        <f t="shared" si="21"/>
        <v/>
      </c>
      <c r="AM119" t="s">
        <v>393</v>
      </c>
      <c r="AN119">
        <f t="shared" si="17"/>
        <v>125</v>
      </c>
      <c r="AO119" t="str">
        <f t="shared" si="18"/>
        <v>19.4.---7.5.---22.8.</v>
      </c>
      <c r="AP119" t="str">
        <f t="shared" si="19"/>
        <v>Avosetti</v>
      </c>
      <c r="AQ119" t="str">
        <f t="shared" si="22"/>
        <v>(19.4.---7.5.---22.8.)</v>
      </c>
    </row>
    <row r="120" spans="1:43" x14ac:dyDescent="0.2">
      <c r="A120" s="1"/>
      <c r="B120" s="9">
        <f t="shared" si="23"/>
        <v>116</v>
      </c>
      <c r="C120" s="10"/>
      <c r="D120" s="9" t="s">
        <v>114</v>
      </c>
      <c r="E120" s="10"/>
      <c r="F120" s="11">
        <v>43566</v>
      </c>
      <c r="G120" s="12">
        <v>43577</v>
      </c>
      <c r="H120" s="11">
        <v>43574</v>
      </c>
      <c r="I120" s="12">
        <v>43570</v>
      </c>
      <c r="J120" s="11">
        <v>43569</v>
      </c>
      <c r="K120" s="12">
        <v>43561</v>
      </c>
      <c r="L120" s="11">
        <v>43572</v>
      </c>
      <c r="M120" s="12">
        <v>43565</v>
      </c>
      <c r="N120" s="11">
        <v>43563</v>
      </c>
      <c r="O120" s="12">
        <v>43568</v>
      </c>
      <c r="P120" s="11">
        <v>43563</v>
      </c>
      <c r="Q120" s="12">
        <v>43560</v>
      </c>
      <c r="R120" s="11">
        <v>43567</v>
      </c>
      <c r="S120" s="12">
        <v>43569</v>
      </c>
      <c r="T120" s="11">
        <v>43560</v>
      </c>
      <c r="U120" s="12">
        <v>43563</v>
      </c>
      <c r="V120" s="11">
        <v>43561</v>
      </c>
      <c r="W120" s="12">
        <v>43565</v>
      </c>
      <c r="X120" s="11">
        <v>43573</v>
      </c>
      <c r="Y120" s="12">
        <v>43570</v>
      </c>
      <c r="Z120" s="11">
        <v>43559</v>
      </c>
      <c r="AA120" s="12">
        <v>43569</v>
      </c>
      <c r="AB120" s="11">
        <v>43567</v>
      </c>
      <c r="AC120" s="12">
        <v>43566</v>
      </c>
      <c r="AD120" s="34"/>
      <c r="AE120" s="33">
        <f t="shared" si="13"/>
        <v>43559</v>
      </c>
      <c r="AF120" s="33">
        <f t="shared" si="14"/>
        <v>43566.5</v>
      </c>
      <c r="AG120" s="33">
        <f t="shared" si="15"/>
        <v>43577</v>
      </c>
      <c r="AH120">
        <v>147</v>
      </c>
      <c r="AK120" s="36" t="str">
        <f t="shared" si="16"/>
        <v/>
      </c>
      <c r="AL120" t="str">
        <f t="shared" si="21"/>
        <v/>
      </c>
      <c r="AM120" t="s">
        <v>393</v>
      </c>
      <c r="AN120">
        <f t="shared" si="17"/>
        <v>18</v>
      </c>
      <c r="AO120" t="str">
        <f t="shared" si="18"/>
        <v>4.4.---11.4.---22.4.</v>
      </c>
      <c r="AP120" t="str">
        <f t="shared" si="19"/>
        <v>Meriharakka</v>
      </c>
      <c r="AQ120" t="str">
        <f t="shared" si="22"/>
        <v>(4.4.---11.4.---22.4.)</v>
      </c>
    </row>
    <row r="121" spans="1:43" x14ac:dyDescent="0.2">
      <c r="A121" s="1"/>
      <c r="B121" s="9">
        <f t="shared" si="23"/>
        <v>117</v>
      </c>
      <c r="C121" s="10"/>
      <c r="D121" s="15" t="s">
        <v>115</v>
      </c>
      <c r="E121" s="16"/>
      <c r="F121" s="11"/>
      <c r="G121" s="12"/>
      <c r="H121" s="11"/>
      <c r="I121" s="12"/>
      <c r="J121" s="11">
        <v>43725</v>
      </c>
      <c r="K121" s="12"/>
      <c r="L121" s="11"/>
      <c r="M121" s="12"/>
      <c r="N121" s="11"/>
      <c r="O121" s="12"/>
      <c r="P121" s="11"/>
      <c r="Q121" s="12"/>
      <c r="R121" s="11"/>
      <c r="S121" s="12"/>
      <c r="T121" s="11"/>
      <c r="U121" s="12"/>
      <c r="V121" s="11"/>
      <c r="W121" s="12"/>
      <c r="X121" s="11"/>
      <c r="Y121" s="12"/>
      <c r="Z121" s="11"/>
      <c r="AA121" s="12"/>
      <c r="AB121" s="11">
        <v>43748</v>
      </c>
      <c r="AC121" s="12" t="s">
        <v>393</v>
      </c>
      <c r="AD121" s="34"/>
      <c r="AE121" s="33">
        <f t="shared" si="13"/>
        <v>43725</v>
      </c>
      <c r="AF121" s="33">
        <f t="shared" si="14"/>
        <v>43736.5</v>
      </c>
      <c r="AG121" s="33">
        <f t="shared" si="15"/>
        <v>43748</v>
      </c>
      <c r="AH121">
        <v>148</v>
      </c>
      <c r="AK121" s="36" t="str">
        <f t="shared" si="16"/>
        <v/>
      </c>
      <c r="AL121" t="str">
        <f t="shared" si="21"/>
        <v/>
      </c>
      <c r="AM121" t="s">
        <v>393</v>
      </c>
      <c r="AN121">
        <f t="shared" si="17"/>
        <v>23</v>
      </c>
      <c r="AO121" t="str">
        <f t="shared" si="18"/>
        <v>17.9.---28.9.---10.10.</v>
      </c>
      <c r="AP121" t="str">
        <f t="shared" si="19"/>
        <v>Siperiankurmitsa</v>
      </c>
      <c r="AQ121" t="str">
        <f t="shared" si="22"/>
        <v>(17.9.---28.9.---10.10.)</v>
      </c>
    </row>
    <row r="122" spans="1:43" x14ac:dyDescent="0.2">
      <c r="A122" s="1"/>
      <c r="B122" s="9">
        <f t="shared" si="23"/>
        <v>118</v>
      </c>
      <c r="C122" s="10"/>
      <c r="D122" s="15" t="s">
        <v>116</v>
      </c>
      <c r="E122" s="16"/>
      <c r="F122" s="11"/>
      <c r="G122" s="12"/>
      <c r="H122" s="11"/>
      <c r="I122" s="12"/>
      <c r="J122" s="11"/>
      <c r="K122" s="12"/>
      <c r="L122" s="11"/>
      <c r="M122" s="12"/>
      <c r="N122" s="11"/>
      <c r="O122" s="12">
        <v>43756</v>
      </c>
      <c r="P122" s="11"/>
      <c r="Q122" s="12"/>
      <c r="R122" s="11"/>
      <c r="S122" s="12">
        <v>43730</v>
      </c>
      <c r="T122" s="11"/>
      <c r="U122" s="12"/>
      <c r="V122" s="11"/>
      <c r="W122" s="12"/>
      <c r="X122" s="11"/>
      <c r="Y122" s="12">
        <v>43754</v>
      </c>
      <c r="Z122" s="11"/>
      <c r="AA122" s="12"/>
      <c r="AB122" s="11"/>
      <c r="AC122" s="12" t="s">
        <v>393</v>
      </c>
      <c r="AD122" s="34"/>
      <c r="AE122" s="33">
        <f t="shared" si="13"/>
        <v>43730</v>
      </c>
      <c r="AF122" s="33">
        <f t="shared" si="14"/>
        <v>43754</v>
      </c>
      <c r="AG122" s="33">
        <f t="shared" si="15"/>
        <v>43756</v>
      </c>
      <c r="AH122">
        <v>149</v>
      </c>
      <c r="AK122" s="36" t="str">
        <f t="shared" si="16"/>
        <v/>
      </c>
      <c r="AL122" t="str">
        <f t="shared" si="21"/>
        <v/>
      </c>
      <c r="AM122" t="s">
        <v>393</v>
      </c>
      <c r="AN122">
        <f t="shared" si="17"/>
        <v>26</v>
      </c>
      <c r="AO122" t="str">
        <f t="shared" si="18"/>
        <v>22.9.---16.10.---18.10.</v>
      </c>
      <c r="AP122" t="str">
        <f t="shared" si="19"/>
        <v>Amerikankurmitsa</v>
      </c>
      <c r="AQ122" t="str">
        <f t="shared" si="22"/>
        <v>(22.9.---16.10.---18.10.)</v>
      </c>
    </row>
    <row r="123" spans="1:43" x14ac:dyDescent="0.2">
      <c r="A123" s="1"/>
      <c r="B123" s="9"/>
      <c r="C123" s="10"/>
      <c r="D123" s="15" t="s">
        <v>117</v>
      </c>
      <c r="E123" s="16"/>
      <c r="F123" s="11"/>
      <c r="G123" s="12"/>
      <c r="H123" s="11"/>
      <c r="I123" s="12"/>
      <c r="J123" s="11"/>
      <c r="K123" s="12"/>
      <c r="L123" s="11"/>
      <c r="M123" s="12"/>
      <c r="N123" s="11"/>
      <c r="O123" s="12"/>
      <c r="P123" s="11"/>
      <c r="Q123" s="12"/>
      <c r="R123" s="11"/>
      <c r="S123" s="12"/>
      <c r="T123" s="11"/>
      <c r="U123" s="12"/>
      <c r="V123" s="11"/>
      <c r="W123" s="12"/>
      <c r="X123" s="11"/>
      <c r="Y123" s="12"/>
      <c r="Z123" s="11"/>
      <c r="AA123" s="12"/>
      <c r="AB123" s="11"/>
      <c r="AC123" s="12" t="s">
        <v>393</v>
      </c>
      <c r="AD123" s="34"/>
      <c r="AE123" s="33" t="str">
        <f t="shared" si="13"/>
        <v/>
      </c>
      <c r="AF123" s="33" t="str">
        <f t="shared" si="14"/>
        <v/>
      </c>
      <c r="AG123" s="33" t="str">
        <f t="shared" si="15"/>
        <v/>
      </c>
      <c r="AH123">
        <v>149.1</v>
      </c>
      <c r="AK123" s="36" t="str">
        <f t="shared" si="16"/>
        <v/>
      </c>
      <c r="AL123" t="str">
        <f t="shared" si="21"/>
        <v/>
      </c>
      <c r="AM123" t="s">
        <v>393</v>
      </c>
      <c r="AN123" t="e">
        <f t="shared" si="17"/>
        <v>#VALUE!</v>
      </c>
      <c r="AO123" t="str">
        <f t="shared" si="18"/>
        <v>------</v>
      </c>
      <c r="AP123" t="str">
        <f t="shared" si="19"/>
        <v>siperiankurmitsa / amerikankurmitsa</v>
      </c>
      <c r="AQ123" t="str">
        <f t="shared" si="22"/>
        <v>(------)</v>
      </c>
    </row>
    <row r="124" spans="1:43" x14ac:dyDescent="0.2">
      <c r="A124" s="1"/>
      <c r="B124" s="9">
        <f>B122+1</f>
        <v>119</v>
      </c>
      <c r="C124" s="10"/>
      <c r="D124" s="9" t="s">
        <v>118</v>
      </c>
      <c r="E124" s="10"/>
      <c r="F124" s="11">
        <v>43568</v>
      </c>
      <c r="G124" s="12">
        <v>43560</v>
      </c>
      <c r="H124" s="11">
        <v>43556</v>
      </c>
      <c r="I124" s="12">
        <v>43568</v>
      </c>
      <c r="J124" s="11">
        <v>43561</v>
      </c>
      <c r="K124" s="12">
        <v>43559</v>
      </c>
      <c r="L124" s="11">
        <v>43563</v>
      </c>
      <c r="M124" s="12">
        <v>43549</v>
      </c>
      <c r="N124" s="11">
        <v>43560</v>
      </c>
      <c r="O124" s="12">
        <v>43563</v>
      </c>
      <c r="P124" s="11">
        <v>43565</v>
      </c>
      <c r="Q124" s="12">
        <v>43570</v>
      </c>
      <c r="R124" s="11">
        <v>43552</v>
      </c>
      <c r="S124" s="12">
        <v>43572</v>
      </c>
      <c r="T124" s="11">
        <v>43552</v>
      </c>
      <c r="U124" s="12">
        <v>43559</v>
      </c>
      <c r="V124" s="11">
        <v>43551</v>
      </c>
      <c r="W124" s="12">
        <v>43556</v>
      </c>
      <c r="X124" s="11">
        <v>43570</v>
      </c>
      <c r="Y124" s="12">
        <v>43559</v>
      </c>
      <c r="Z124" s="11">
        <v>43549</v>
      </c>
      <c r="AA124" s="12">
        <v>43552</v>
      </c>
      <c r="AB124" s="11">
        <v>43568</v>
      </c>
      <c r="AC124" s="12">
        <v>43560</v>
      </c>
      <c r="AD124" s="34"/>
      <c r="AE124" s="33">
        <f t="shared" si="13"/>
        <v>43549</v>
      </c>
      <c r="AF124" s="33">
        <f t="shared" si="14"/>
        <v>43560</v>
      </c>
      <c r="AG124" s="33">
        <f t="shared" si="15"/>
        <v>43572</v>
      </c>
      <c r="AH124">
        <v>150</v>
      </c>
      <c r="AK124" s="36" t="str">
        <f t="shared" si="16"/>
        <v/>
      </c>
      <c r="AL124" t="str">
        <f t="shared" si="21"/>
        <v/>
      </c>
      <c r="AM124" t="s">
        <v>393</v>
      </c>
      <c r="AN124">
        <f t="shared" si="17"/>
        <v>23</v>
      </c>
      <c r="AO124" t="str">
        <f t="shared" si="18"/>
        <v>25.3.---5.4.---17.4.</v>
      </c>
      <c r="AP124" t="str">
        <f t="shared" si="19"/>
        <v>Kapustarinta</v>
      </c>
      <c r="AQ124" t="str">
        <f t="shared" si="22"/>
        <v>(25.3.---5.4.---17.4.)</v>
      </c>
    </row>
    <row r="125" spans="1:43" x14ac:dyDescent="0.2">
      <c r="A125" s="1"/>
      <c r="B125" s="9">
        <f t="shared" ref="B125:B156" si="24">B124+1</f>
        <v>120</v>
      </c>
      <c r="C125" s="10"/>
      <c r="D125" s="9" t="s">
        <v>119</v>
      </c>
      <c r="E125" s="10"/>
      <c r="F125" s="11">
        <v>43596</v>
      </c>
      <c r="G125" s="12">
        <v>43598</v>
      </c>
      <c r="H125" s="11">
        <v>43606</v>
      </c>
      <c r="I125" s="12">
        <v>43596</v>
      </c>
      <c r="J125" s="11">
        <v>43604</v>
      </c>
      <c r="K125" s="12">
        <v>43591</v>
      </c>
      <c r="L125" s="11">
        <v>43591</v>
      </c>
      <c r="M125" s="12">
        <v>43596</v>
      </c>
      <c r="N125" s="11">
        <v>43602</v>
      </c>
      <c r="O125" s="12">
        <v>43594</v>
      </c>
      <c r="P125" s="11">
        <v>43598</v>
      </c>
      <c r="Q125" s="12">
        <v>43598</v>
      </c>
      <c r="R125" s="11">
        <v>43592</v>
      </c>
      <c r="S125" s="12">
        <v>43600</v>
      </c>
      <c r="T125" s="11">
        <v>43595</v>
      </c>
      <c r="U125" s="12">
        <v>43591</v>
      </c>
      <c r="V125" s="11">
        <v>43598</v>
      </c>
      <c r="W125" s="12">
        <v>43598</v>
      </c>
      <c r="X125" s="11">
        <v>43599</v>
      </c>
      <c r="Y125" s="12">
        <v>43596</v>
      </c>
      <c r="Z125" s="11">
        <v>43609</v>
      </c>
      <c r="AA125" s="12">
        <v>43598</v>
      </c>
      <c r="AB125" s="11">
        <v>43595</v>
      </c>
      <c r="AC125" s="12">
        <v>43598</v>
      </c>
      <c r="AD125" s="34"/>
      <c r="AE125" s="33">
        <f t="shared" si="13"/>
        <v>43591</v>
      </c>
      <c r="AF125" s="33">
        <f t="shared" si="14"/>
        <v>43598</v>
      </c>
      <c r="AG125" s="33">
        <f t="shared" si="15"/>
        <v>43609</v>
      </c>
      <c r="AH125">
        <v>151</v>
      </c>
      <c r="AK125" s="36" t="str">
        <f t="shared" si="16"/>
        <v/>
      </c>
      <c r="AL125" t="str">
        <f t="shared" si="21"/>
        <v/>
      </c>
      <c r="AM125" t="s">
        <v>393</v>
      </c>
      <c r="AN125">
        <f t="shared" si="17"/>
        <v>18</v>
      </c>
      <c r="AO125" t="str">
        <f t="shared" si="18"/>
        <v>6.5.---13.5.---24.5.</v>
      </c>
      <c r="AP125" t="str">
        <f t="shared" si="19"/>
        <v>Tundrakurmitsa</v>
      </c>
      <c r="AQ125" t="str">
        <f t="shared" si="22"/>
        <v>(6.5.---13.5.---24.5.)</v>
      </c>
    </row>
    <row r="126" spans="1:43" x14ac:dyDescent="0.2">
      <c r="A126" s="1"/>
      <c r="B126" s="9">
        <f t="shared" si="24"/>
        <v>121</v>
      </c>
      <c r="C126" s="10"/>
      <c r="D126" s="15" t="s">
        <v>120</v>
      </c>
      <c r="E126" s="16"/>
      <c r="F126" s="11"/>
      <c r="G126" s="12"/>
      <c r="H126" s="11"/>
      <c r="I126" s="12"/>
      <c r="J126" s="11"/>
      <c r="K126" s="12"/>
      <c r="L126" s="11"/>
      <c r="M126" s="12"/>
      <c r="N126" s="11"/>
      <c r="O126" s="12"/>
      <c r="P126" s="11"/>
      <c r="Q126" s="12"/>
      <c r="R126" s="11"/>
      <c r="S126" s="12"/>
      <c r="T126" s="11"/>
      <c r="U126" s="12"/>
      <c r="V126" s="11"/>
      <c r="W126" s="12"/>
      <c r="X126" s="11"/>
      <c r="Y126" s="12"/>
      <c r="Z126" s="11"/>
      <c r="AA126" s="12"/>
      <c r="AB126" s="11"/>
      <c r="AC126" s="12" t="s">
        <v>393</v>
      </c>
      <c r="AD126" s="34"/>
      <c r="AE126" s="33" t="str">
        <f t="shared" si="13"/>
        <v/>
      </c>
      <c r="AF126" s="33" t="str">
        <f t="shared" si="14"/>
        <v/>
      </c>
      <c r="AG126" s="33" t="str">
        <f t="shared" si="15"/>
        <v/>
      </c>
      <c r="AH126">
        <v>153</v>
      </c>
      <c r="AK126" s="36" t="str">
        <f t="shared" si="16"/>
        <v/>
      </c>
      <c r="AL126" t="str">
        <f t="shared" si="21"/>
        <v/>
      </c>
      <c r="AM126" t="s">
        <v>393</v>
      </c>
      <c r="AN126" t="e">
        <f t="shared" si="17"/>
        <v>#VALUE!</v>
      </c>
      <c r="AO126" t="str">
        <f t="shared" si="18"/>
        <v>------</v>
      </c>
      <c r="AP126" t="str">
        <f t="shared" si="19"/>
        <v>Suohyyppä</v>
      </c>
      <c r="AQ126" t="str">
        <f t="shared" si="22"/>
        <v>(------)</v>
      </c>
    </row>
    <row r="127" spans="1:43" x14ac:dyDescent="0.2">
      <c r="A127" s="1"/>
      <c r="B127" s="9">
        <f t="shared" si="24"/>
        <v>122</v>
      </c>
      <c r="C127" s="10"/>
      <c r="D127" s="9" t="s">
        <v>121</v>
      </c>
      <c r="E127" s="10"/>
      <c r="F127" s="11">
        <v>43547</v>
      </c>
      <c r="G127" s="12">
        <v>43556</v>
      </c>
      <c r="H127" s="11">
        <v>43544</v>
      </c>
      <c r="I127" s="12">
        <v>43533</v>
      </c>
      <c r="J127" s="11">
        <v>43539</v>
      </c>
      <c r="K127" s="12">
        <v>43552</v>
      </c>
      <c r="L127" s="11">
        <v>43556</v>
      </c>
      <c r="M127" s="12">
        <f>IF(AG1,DATE(2019,1,13),DATE(2019,3,13))</f>
        <v>43537</v>
      </c>
      <c r="N127" s="11">
        <v>43536</v>
      </c>
      <c r="O127" s="12">
        <v>43527</v>
      </c>
      <c r="P127" s="11">
        <v>43553</v>
      </c>
      <c r="Q127" s="12">
        <v>43556</v>
      </c>
      <c r="R127" s="11">
        <v>43540</v>
      </c>
      <c r="S127" s="12">
        <v>43553</v>
      </c>
      <c r="T127" s="11">
        <v>43528</v>
      </c>
      <c r="U127" s="12">
        <v>43533</v>
      </c>
      <c r="V127" s="11">
        <v>43550</v>
      </c>
      <c r="W127" s="12">
        <v>43538</v>
      </c>
      <c r="X127" s="11">
        <v>43560</v>
      </c>
      <c r="Y127" s="12">
        <v>43545</v>
      </c>
      <c r="Z127" s="11">
        <f>IF(AG1,DATE(2019,1,3),DATE(2019,3,8))</f>
        <v>43532</v>
      </c>
      <c r="AA127" s="12">
        <v>43548</v>
      </c>
      <c r="AB127" s="11">
        <v>43540</v>
      </c>
      <c r="AC127" s="12">
        <v>43561</v>
      </c>
      <c r="AD127" s="34"/>
      <c r="AE127" s="33">
        <f t="shared" si="13"/>
        <v>43527</v>
      </c>
      <c r="AF127" s="33">
        <f t="shared" si="14"/>
        <v>43544.5</v>
      </c>
      <c r="AG127" s="33">
        <f t="shared" si="15"/>
        <v>43561</v>
      </c>
      <c r="AH127">
        <v>154</v>
      </c>
      <c r="AK127" s="36" t="str">
        <f t="shared" si="16"/>
        <v/>
      </c>
      <c r="AL127" t="str">
        <f t="shared" si="21"/>
        <v/>
      </c>
      <c r="AM127">
        <v>2</v>
      </c>
      <c r="AN127">
        <f t="shared" si="17"/>
        <v>34</v>
      </c>
      <c r="AO127" t="str">
        <f t="shared" si="18"/>
        <v>3.3.---20.3.---6.4.</v>
      </c>
      <c r="AP127" t="str">
        <f t="shared" si="19"/>
        <v>Töyhtöhyyppä</v>
      </c>
      <c r="AQ127" t="str">
        <f t="shared" si="22"/>
        <v>(3.3.---20.3.---6.4., 2/21)</v>
      </c>
    </row>
    <row r="128" spans="1:43" x14ac:dyDescent="0.2">
      <c r="A128" s="1"/>
      <c r="B128" s="9">
        <f t="shared" si="24"/>
        <v>123</v>
      </c>
      <c r="C128" s="10"/>
      <c r="D128" s="9" t="s">
        <v>122</v>
      </c>
      <c r="E128" s="10"/>
      <c r="F128" s="11">
        <v>43574</v>
      </c>
      <c r="G128" s="12">
        <v>43582</v>
      </c>
      <c r="H128" s="11">
        <v>43582</v>
      </c>
      <c r="I128" s="12">
        <v>43577</v>
      </c>
      <c r="J128" s="11">
        <v>43572</v>
      </c>
      <c r="K128" s="12">
        <v>43581</v>
      </c>
      <c r="L128" s="11">
        <v>43574</v>
      </c>
      <c r="M128" s="12">
        <v>43580</v>
      </c>
      <c r="N128" s="11">
        <v>43573</v>
      </c>
      <c r="O128" s="12">
        <v>43580</v>
      </c>
      <c r="P128" s="11">
        <v>43584</v>
      </c>
      <c r="Q128" s="12">
        <v>43578</v>
      </c>
      <c r="R128" s="11">
        <v>43576</v>
      </c>
      <c r="S128" s="12">
        <v>43577</v>
      </c>
      <c r="T128" s="11">
        <v>43572</v>
      </c>
      <c r="U128" s="12">
        <v>43578</v>
      </c>
      <c r="V128" s="11">
        <v>43582</v>
      </c>
      <c r="W128" s="12">
        <v>43579</v>
      </c>
      <c r="X128" s="11">
        <v>43580</v>
      </c>
      <c r="Y128" s="12">
        <v>43575</v>
      </c>
      <c r="Z128" s="11">
        <v>43583</v>
      </c>
      <c r="AA128" s="12">
        <v>43574</v>
      </c>
      <c r="AB128" s="11">
        <v>43577</v>
      </c>
      <c r="AC128" s="12">
        <v>43571</v>
      </c>
      <c r="AD128" s="34"/>
      <c r="AE128" s="33">
        <f t="shared" si="13"/>
        <v>43571</v>
      </c>
      <c r="AF128" s="33">
        <f t="shared" si="14"/>
        <v>43577.5</v>
      </c>
      <c r="AG128" s="33">
        <f t="shared" si="15"/>
        <v>43584</v>
      </c>
      <c r="AH128">
        <v>155</v>
      </c>
      <c r="AK128" s="36" t="str">
        <f t="shared" si="16"/>
        <v/>
      </c>
      <c r="AL128" t="str">
        <f t="shared" si="21"/>
        <v/>
      </c>
      <c r="AM128" t="s">
        <v>393</v>
      </c>
      <c r="AN128">
        <f t="shared" si="17"/>
        <v>13</v>
      </c>
      <c r="AO128" t="str">
        <f t="shared" si="18"/>
        <v>16.4.---22.4.---29.4.</v>
      </c>
      <c r="AP128" t="str">
        <f t="shared" si="19"/>
        <v>Pikkutylli</v>
      </c>
      <c r="AQ128" t="str">
        <f t="shared" si="22"/>
        <v>(16.4.---22.4.---29.4.)</v>
      </c>
    </row>
    <row r="129" spans="1:43" x14ac:dyDescent="0.2">
      <c r="A129" s="1"/>
      <c r="B129" s="9">
        <f t="shared" si="24"/>
        <v>124</v>
      </c>
      <c r="C129" s="10"/>
      <c r="D129" s="9" t="s">
        <v>123</v>
      </c>
      <c r="E129" s="10"/>
      <c r="F129" s="11">
        <v>43568</v>
      </c>
      <c r="G129" s="12">
        <v>43566</v>
      </c>
      <c r="H129" s="11">
        <v>43553</v>
      </c>
      <c r="I129" s="12">
        <v>43569</v>
      </c>
      <c r="J129" s="11">
        <v>43562</v>
      </c>
      <c r="K129" s="12">
        <v>43568</v>
      </c>
      <c r="L129" s="11">
        <v>43563</v>
      </c>
      <c r="M129" s="12">
        <v>43554</v>
      </c>
      <c r="N129" s="11">
        <v>43562</v>
      </c>
      <c r="O129" s="12">
        <v>43566</v>
      </c>
      <c r="P129" s="11">
        <v>43571</v>
      </c>
      <c r="Q129" s="12">
        <v>43571</v>
      </c>
      <c r="R129" s="11">
        <v>43567</v>
      </c>
      <c r="S129" s="12">
        <v>43575</v>
      </c>
      <c r="T129" s="11">
        <v>43559</v>
      </c>
      <c r="U129" s="12">
        <v>43559</v>
      </c>
      <c r="V129" s="11">
        <v>43553</v>
      </c>
      <c r="W129" s="12">
        <v>43562</v>
      </c>
      <c r="X129" s="11">
        <v>43573</v>
      </c>
      <c r="Y129" s="12">
        <v>43561</v>
      </c>
      <c r="Z129" s="11">
        <v>43562</v>
      </c>
      <c r="AA129" s="12">
        <v>43569</v>
      </c>
      <c r="AB129" s="11">
        <v>43570</v>
      </c>
      <c r="AC129" s="12">
        <v>43564</v>
      </c>
      <c r="AD129" s="34"/>
      <c r="AE129" s="33">
        <f t="shared" si="13"/>
        <v>43553</v>
      </c>
      <c r="AF129" s="33">
        <f t="shared" si="14"/>
        <v>43565</v>
      </c>
      <c r="AG129" s="33">
        <f t="shared" si="15"/>
        <v>43575</v>
      </c>
      <c r="AH129">
        <v>156</v>
      </c>
      <c r="AK129" s="36" t="str">
        <f t="shared" si="16"/>
        <v/>
      </c>
      <c r="AL129" t="str">
        <f t="shared" si="21"/>
        <v/>
      </c>
      <c r="AM129" t="s">
        <v>393</v>
      </c>
      <c r="AN129">
        <f t="shared" si="17"/>
        <v>22</v>
      </c>
      <c r="AO129" t="str">
        <f t="shared" si="18"/>
        <v>29.3.---10.4.---20.4.</v>
      </c>
      <c r="AP129" t="str">
        <f t="shared" si="19"/>
        <v>Tylli</v>
      </c>
      <c r="AQ129" t="str">
        <f t="shared" si="22"/>
        <v>(29.3.---10.4.---20.4.)</v>
      </c>
    </row>
    <row r="130" spans="1:43" x14ac:dyDescent="0.2">
      <c r="A130" s="1"/>
      <c r="B130" s="9">
        <f t="shared" si="24"/>
        <v>125</v>
      </c>
      <c r="C130" s="10"/>
      <c r="D130" s="15" t="s">
        <v>124</v>
      </c>
      <c r="E130" s="16"/>
      <c r="F130" s="11"/>
      <c r="G130" s="12"/>
      <c r="H130" s="11"/>
      <c r="I130" s="12"/>
      <c r="J130" s="11"/>
      <c r="K130" s="12"/>
      <c r="L130" s="11"/>
      <c r="M130" s="12"/>
      <c r="N130" s="11">
        <v>43598</v>
      </c>
      <c r="O130" s="12"/>
      <c r="P130" s="11"/>
      <c r="Q130" s="12"/>
      <c r="R130" s="11"/>
      <c r="S130" s="12"/>
      <c r="T130" s="11"/>
      <c r="U130" s="12">
        <v>43610</v>
      </c>
      <c r="V130" s="11"/>
      <c r="W130" s="12">
        <v>43658</v>
      </c>
      <c r="X130" s="11"/>
      <c r="Y130" s="12">
        <v>43595</v>
      </c>
      <c r="Z130" s="11">
        <v>43589</v>
      </c>
      <c r="AA130" s="12"/>
      <c r="AB130" s="11"/>
      <c r="AC130" s="12" t="s">
        <v>393</v>
      </c>
      <c r="AD130" s="34"/>
      <c r="AE130" s="33">
        <f t="shared" si="13"/>
        <v>43589</v>
      </c>
      <c r="AF130" s="33">
        <f t="shared" si="14"/>
        <v>43598</v>
      </c>
      <c r="AG130" s="33">
        <f t="shared" si="15"/>
        <v>43658</v>
      </c>
      <c r="AH130">
        <v>157</v>
      </c>
      <c r="AK130" s="36" t="str">
        <f t="shared" si="16"/>
        <v/>
      </c>
      <c r="AL130" t="str">
        <f t="shared" si="21"/>
        <v/>
      </c>
      <c r="AM130" t="s">
        <v>393</v>
      </c>
      <c r="AN130">
        <f t="shared" si="17"/>
        <v>69</v>
      </c>
      <c r="AO130" t="str">
        <f t="shared" si="18"/>
        <v>4.5.---13.5.---12.7.</v>
      </c>
      <c r="AP130" t="str">
        <f t="shared" si="19"/>
        <v>Mustajalkatylli</v>
      </c>
      <c r="AQ130" t="str">
        <f t="shared" si="22"/>
        <v>(4.5.---13.5.---12.7.)</v>
      </c>
    </row>
    <row r="131" spans="1:43" x14ac:dyDescent="0.2">
      <c r="A131" s="1"/>
      <c r="B131" s="9">
        <f t="shared" si="24"/>
        <v>126</v>
      </c>
      <c r="C131" s="10"/>
      <c r="D131" s="15" t="s">
        <v>125</v>
      </c>
      <c r="E131" s="16"/>
      <c r="F131" s="11"/>
      <c r="G131" s="12"/>
      <c r="H131" s="11"/>
      <c r="I131" s="12"/>
      <c r="J131" s="11"/>
      <c r="K131" s="12"/>
      <c r="L131" s="11"/>
      <c r="M131" s="12"/>
      <c r="N131" s="11"/>
      <c r="O131" s="12"/>
      <c r="P131" s="11"/>
      <c r="Q131" s="12"/>
      <c r="R131" s="11"/>
      <c r="S131" s="12"/>
      <c r="T131" s="11"/>
      <c r="U131" s="12"/>
      <c r="V131" s="11">
        <v>43631</v>
      </c>
      <c r="W131" s="12"/>
      <c r="X131" s="11"/>
      <c r="Y131" s="12"/>
      <c r="Z131" s="11">
        <v>43650</v>
      </c>
      <c r="AA131" s="12">
        <v>43603</v>
      </c>
      <c r="AB131" s="11"/>
      <c r="AC131" s="12" t="s">
        <v>393</v>
      </c>
      <c r="AD131" s="34"/>
      <c r="AE131" s="33">
        <f t="shared" si="13"/>
        <v>43603</v>
      </c>
      <c r="AF131" s="33">
        <f t="shared" si="14"/>
        <v>43631</v>
      </c>
      <c r="AG131" s="33">
        <f t="shared" si="15"/>
        <v>43650</v>
      </c>
      <c r="AH131">
        <v>159</v>
      </c>
      <c r="AK131" s="36" t="str">
        <f t="shared" si="16"/>
        <v/>
      </c>
      <c r="AL131" t="str">
        <f t="shared" si="21"/>
        <v/>
      </c>
      <c r="AM131" t="s">
        <v>393</v>
      </c>
      <c r="AN131">
        <f t="shared" si="17"/>
        <v>47</v>
      </c>
      <c r="AO131" t="str">
        <f t="shared" si="18"/>
        <v>18.5.---15.6.---4.7.</v>
      </c>
      <c r="AP131" t="str">
        <f t="shared" si="19"/>
        <v>Aavikkotylli</v>
      </c>
      <c r="AQ131" t="str">
        <f t="shared" si="22"/>
        <v>(18.5.---15.6.---4.7.)</v>
      </c>
    </row>
    <row r="132" spans="1:43" x14ac:dyDescent="0.2">
      <c r="A132" s="1"/>
      <c r="B132" s="9">
        <f t="shared" si="24"/>
        <v>127</v>
      </c>
      <c r="C132" s="10"/>
      <c r="D132" s="9" t="s">
        <v>126</v>
      </c>
      <c r="E132" s="10"/>
      <c r="F132" s="11">
        <v>43612</v>
      </c>
      <c r="G132" s="12">
        <v>43603</v>
      </c>
      <c r="H132" s="11">
        <v>43599</v>
      </c>
      <c r="I132" s="12">
        <v>43608</v>
      </c>
      <c r="J132" s="11">
        <v>43600</v>
      </c>
      <c r="K132" s="12">
        <v>43603</v>
      </c>
      <c r="L132" s="11">
        <v>43600</v>
      </c>
      <c r="M132" s="12">
        <v>43604</v>
      </c>
      <c r="N132" s="11">
        <v>43608</v>
      </c>
      <c r="O132" s="12">
        <v>43604</v>
      </c>
      <c r="P132" s="11">
        <v>43602</v>
      </c>
      <c r="Q132" s="12">
        <v>43602</v>
      </c>
      <c r="R132" s="11">
        <v>43601</v>
      </c>
      <c r="S132" s="12">
        <v>43605</v>
      </c>
      <c r="T132" s="11">
        <v>43597</v>
      </c>
      <c r="U132" s="12">
        <v>43599</v>
      </c>
      <c r="V132" s="11">
        <v>43604</v>
      </c>
      <c r="W132" s="12">
        <v>43597</v>
      </c>
      <c r="X132" s="11">
        <v>43604</v>
      </c>
      <c r="Y132" s="12">
        <v>43596</v>
      </c>
      <c r="Z132" s="11">
        <v>43608</v>
      </c>
      <c r="AA132" s="12">
        <v>43608</v>
      </c>
      <c r="AB132" s="11">
        <v>43612</v>
      </c>
      <c r="AC132" s="12">
        <v>43612</v>
      </c>
      <c r="AD132" s="34"/>
      <c r="AE132" s="33">
        <f t="shared" ref="AE132:AE195" si="25">IF(SUM(F132:AC132)&gt;0,MIN(F132:AC132),"")</f>
        <v>43596</v>
      </c>
      <c r="AF132" s="33">
        <f t="shared" ref="AF132:AF195" si="26">IF(SUM(F132:AC132)&gt;0,MEDIAN(F132:AC132),"")</f>
        <v>43603.5</v>
      </c>
      <c r="AG132" s="33">
        <f t="shared" ref="AG132:AG195" si="27">IF(SUM(F132:AC132)&gt;0,MAX(F132:AC132),"")</f>
        <v>43612</v>
      </c>
      <c r="AH132">
        <v>162</v>
      </c>
      <c r="AK132" s="36" t="str">
        <f t="shared" ref="AK132:AK195" si="28">IF(AI132&lt;&gt;"",D132 &amp; "x" &amp; TEXT(AE132, "pp.kk.")  &amp; "2019x" &amp; TEXT(Z132, "pp.kk.") &amp; "2019","")</f>
        <v/>
      </c>
      <c r="AL132" t="str">
        <f t="shared" si="21"/>
        <v/>
      </c>
      <c r="AM132" t="s">
        <v>393</v>
      </c>
      <c r="AN132">
        <f t="shared" ref="AN132:AN195" si="29">AG132-AE132</f>
        <v>16</v>
      </c>
      <c r="AO132" t="str">
        <f t="shared" ref="AO132:AO195" si="30">TEXT(AE132, "p.k.")  &amp; "---" &amp; TEXT(AF132, "p.k.")  &amp; "---" &amp; TEXT(AG132, "p.k.")</f>
        <v>11.5.---18.5.---27.5.</v>
      </c>
      <c r="AP132" t="str">
        <f t="shared" ref="AP132:AP195" si="31">D132</f>
        <v>Keräkurmitsa</v>
      </c>
      <c r="AQ132" t="str">
        <f t="shared" si="22"/>
        <v>(11.5.---18.5.---27.5.)</v>
      </c>
    </row>
    <row r="133" spans="1:43" x14ac:dyDescent="0.2">
      <c r="A133" s="1"/>
      <c r="B133" s="9">
        <f t="shared" si="24"/>
        <v>128</v>
      </c>
      <c r="C133" s="10"/>
      <c r="D133" s="9" t="s">
        <v>127</v>
      </c>
      <c r="E133" s="10"/>
      <c r="F133" s="11">
        <v>43575</v>
      </c>
      <c r="G133" s="12">
        <v>43582</v>
      </c>
      <c r="H133" s="11">
        <v>43581</v>
      </c>
      <c r="I133" s="12">
        <v>43585</v>
      </c>
      <c r="J133" s="11">
        <v>43577</v>
      </c>
      <c r="K133" s="12">
        <v>43578</v>
      </c>
      <c r="L133" s="11">
        <v>43577</v>
      </c>
      <c r="M133" s="12">
        <v>43576</v>
      </c>
      <c r="N133" s="11">
        <v>43577</v>
      </c>
      <c r="O133" s="12">
        <v>43580</v>
      </c>
      <c r="P133" s="11">
        <v>43574</v>
      </c>
      <c r="Q133" s="12">
        <v>43577</v>
      </c>
      <c r="R133" s="11">
        <v>43577</v>
      </c>
      <c r="S133" s="12">
        <v>43580</v>
      </c>
      <c r="T133" s="11">
        <v>43576</v>
      </c>
      <c r="U133" s="12">
        <v>43580</v>
      </c>
      <c r="V133" s="11">
        <v>43574</v>
      </c>
      <c r="W133" s="12">
        <v>43584</v>
      </c>
      <c r="X133" s="11">
        <v>43577</v>
      </c>
      <c r="Y133" s="12">
        <v>43577</v>
      </c>
      <c r="Z133" s="11">
        <v>43574</v>
      </c>
      <c r="AA133" s="12">
        <v>43582</v>
      </c>
      <c r="AB133" s="11">
        <v>43574</v>
      </c>
      <c r="AC133" s="12">
        <v>43581</v>
      </c>
      <c r="AD133" s="34"/>
      <c r="AE133" s="33">
        <f t="shared" si="25"/>
        <v>43574</v>
      </c>
      <c r="AF133" s="33">
        <f t="shared" si="26"/>
        <v>43577</v>
      </c>
      <c r="AG133" s="33">
        <f t="shared" si="27"/>
        <v>43585</v>
      </c>
      <c r="AH133">
        <v>165</v>
      </c>
      <c r="AK133" s="36" t="str">
        <f t="shared" si="28"/>
        <v/>
      </c>
      <c r="AL133" t="str">
        <f t="shared" ref="AL133:AL196" si="32">IF(COUNTIF(F133:Z133,"&lt;01.03.2019")&gt;0,COUNTIF(F133:Z133,"&lt;01.03.2019"),"")</f>
        <v/>
      </c>
      <c r="AM133" t="s">
        <v>393</v>
      </c>
      <c r="AN133">
        <f t="shared" si="29"/>
        <v>11</v>
      </c>
      <c r="AO133" t="str">
        <f t="shared" si="30"/>
        <v>19.4.---22.4.---30.4.</v>
      </c>
      <c r="AP133" t="str">
        <f t="shared" si="31"/>
        <v>Pikkukuovi</v>
      </c>
      <c r="AQ133" t="str">
        <f t="shared" ref="AQ133:AQ196" si="33">IF(AND(AM133&gt;0,AM133&lt;&gt;""),"(" &amp;AO133 &amp; ", " &amp; AM133 &amp; "/21)","(" &amp; AO133 &amp; ")")</f>
        <v>(19.4.---22.4.---30.4.)</v>
      </c>
    </row>
    <row r="134" spans="1:43" x14ac:dyDescent="0.2">
      <c r="A134" s="1"/>
      <c r="B134" s="9">
        <f t="shared" si="24"/>
        <v>129</v>
      </c>
      <c r="C134" s="10"/>
      <c r="D134" s="9" t="s">
        <v>128</v>
      </c>
      <c r="E134" s="10"/>
      <c r="F134" s="11">
        <v>43569</v>
      </c>
      <c r="G134" s="12">
        <v>43571</v>
      </c>
      <c r="H134" s="11">
        <v>43554</v>
      </c>
      <c r="I134" s="12">
        <v>43557</v>
      </c>
      <c r="J134" s="11">
        <v>43558</v>
      </c>
      <c r="K134" s="12">
        <v>43565</v>
      </c>
      <c r="L134" s="11">
        <v>43567</v>
      </c>
      <c r="M134" s="12">
        <v>43567</v>
      </c>
      <c r="N134" s="11">
        <v>43567</v>
      </c>
      <c r="O134" s="12">
        <v>43564</v>
      </c>
      <c r="P134" s="11">
        <v>43565</v>
      </c>
      <c r="Q134" s="12">
        <v>43566</v>
      </c>
      <c r="R134" s="11">
        <v>43563</v>
      </c>
      <c r="S134" s="12">
        <v>43542</v>
      </c>
      <c r="T134" s="11">
        <v>43552</v>
      </c>
      <c r="U134" s="12">
        <v>43562</v>
      </c>
      <c r="V134" s="11">
        <v>43560</v>
      </c>
      <c r="W134" s="12">
        <v>43561</v>
      </c>
      <c r="X134" s="11">
        <v>43571</v>
      </c>
      <c r="Y134" s="12">
        <v>43561</v>
      </c>
      <c r="Z134" s="11">
        <v>43563</v>
      </c>
      <c r="AA134" s="12">
        <v>43567</v>
      </c>
      <c r="AB134" s="11">
        <v>43560</v>
      </c>
      <c r="AC134" s="12">
        <v>43565</v>
      </c>
      <c r="AD134" s="34"/>
      <c r="AE134" s="33">
        <f t="shared" si="25"/>
        <v>43542</v>
      </c>
      <c r="AF134" s="33">
        <f t="shared" si="26"/>
        <v>43563.5</v>
      </c>
      <c r="AG134" s="33">
        <f t="shared" si="27"/>
        <v>43571</v>
      </c>
      <c r="AH134">
        <v>166</v>
      </c>
      <c r="AK134" s="36" t="str">
        <f t="shared" si="28"/>
        <v/>
      </c>
      <c r="AL134" t="str">
        <f t="shared" si="32"/>
        <v/>
      </c>
      <c r="AM134" t="s">
        <v>393</v>
      </c>
      <c r="AN134">
        <f t="shared" si="29"/>
        <v>29</v>
      </c>
      <c r="AO134" t="str">
        <f t="shared" si="30"/>
        <v>18.3.---8.4.---16.4.</v>
      </c>
      <c r="AP134" t="str">
        <f t="shared" si="31"/>
        <v>Kuovi</v>
      </c>
      <c r="AQ134" t="str">
        <f t="shared" si="33"/>
        <v>(18.3.---8.4.---16.4.)</v>
      </c>
    </row>
    <row r="135" spans="1:43" x14ac:dyDescent="0.2">
      <c r="A135" s="1"/>
      <c r="B135" s="9">
        <f t="shared" si="24"/>
        <v>130</v>
      </c>
      <c r="C135" s="10"/>
      <c r="D135" s="9" t="s">
        <v>129</v>
      </c>
      <c r="E135" s="10"/>
      <c r="F135" s="11">
        <v>43575</v>
      </c>
      <c r="G135" s="12">
        <v>43577</v>
      </c>
      <c r="H135" s="11">
        <v>43575</v>
      </c>
      <c r="I135" s="12">
        <v>43574</v>
      </c>
      <c r="J135" s="11">
        <v>43570</v>
      </c>
      <c r="K135" s="12">
        <v>43565</v>
      </c>
      <c r="L135" s="11">
        <v>43574</v>
      </c>
      <c r="M135" s="12">
        <v>43570</v>
      </c>
      <c r="N135" s="11">
        <v>43572</v>
      </c>
      <c r="O135" s="12">
        <v>43577</v>
      </c>
      <c r="P135" s="11">
        <v>43572</v>
      </c>
      <c r="Q135" s="12">
        <v>43575</v>
      </c>
      <c r="R135" s="11">
        <v>43568</v>
      </c>
      <c r="S135" s="12">
        <v>43576</v>
      </c>
      <c r="T135" s="11">
        <v>43572</v>
      </c>
      <c r="U135" s="12">
        <v>43567</v>
      </c>
      <c r="V135" s="11">
        <v>43570</v>
      </c>
      <c r="W135" s="12">
        <v>43575</v>
      </c>
      <c r="X135" s="11">
        <v>43570</v>
      </c>
      <c r="Y135" s="12">
        <v>43570</v>
      </c>
      <c r="Z135" s="11">
        <v>43565</v>
      </c>
      <c r="AA135" s="12">
        <v>43570</v>
      </c>
      <c r="AB135" s="11">
        <v>43573</v>
      </c>
      <c r="AC135" s="12">
        <v>43571</v>
      </c>
      <c r="AD135" s="34"/>
      <c r="AE135" s="33">
        <f t="shared" si="25"/>
        <v>43565</v>
      </c>
      <c r="AF135" s="33">
        <f t="shared" si="26"/>
        <v>43572</v>
      </c>
      <c r="AG135" s="33">
        <f t="shared" si="27"/>
        <v>43577</v>
      </c>
      <c r="AH135">
        <v>167</v>
      </c>
      <c r="AK135" s="36" t="str">
        <f t="shared" si="28"/>
        <v/>
      </c>
      <c r="AL135" t="str">
        <f t="shared" si="32"/>
        <v/>
      </c>
      <c r="AM135" t="s">
        <v>393</v>
      </c>
      <c r="AN135">
        <f t="shared" si="29"/>
        <v>12</v>
      </c>
      <c r="AO135" t="str">
        <f t="shared" si="30"/>
        <v>10.4.---17.4.---22.4.</v>
      </c>
      <c r="AP135" t="str">
        <f t="shared" si="31"/>
        <v>Mustapyrstökuiri</v>
      </c>
      <c r="AQ135" t="str">
        <f t="shared" si="33"/>
        <v>(10.4.---17.4.---22.4.)</v>
      </c>
    </row>
    <row r="136" spans="1:43" x14ac:dyDescent="0.2">
      <c r="A136" s="1"/>
      <c r="B136" s="9">
        <f t="shared" si="24"/>
        <v>131</v>
      </c>
      <c r="C136" s="10"/>
      <c r="D136" s="9" t="s">
        <v>130</v>
      </c>
      <c r="E136" s="10"/>
      <c r="F136" s="11">
        <v>43575</v>
      </c>
      <c r="G136" s="12">
        <v>43584</v>
      </c>
      <c r="H136" s="11">
        <v>43582</v>
      </c>
      <c r="I136" s="12">
        <v>43588</v>
      </c>
      <c r="J136" s="11">
        <v>43577</v>
      </c>
      <c r="K136" s="12">
        <v>43578</v>
      </c>
      <c r="L136" s="11">
        <v>43575</v>
      </c>
      <c r="M136" s="12">
        <v>43584</v>
      </c>
      <c r="N136" s="11">
        <v>43580</v>
      </c>
      <c r="O136" s="12">
        <v>43584</v>
      </c>
      <c r="P136" s="11">
        <v>43580</v>
      </c>
      <c r="Q136" s="12">
        <v>43576</v>
      </c>
      <c r="R136" s="11">
        <v>43579</v>
      </c>
      <c r="S136" s="12">
        <v>43580</v>
      </c>
      <c r="T136" s="11">
        <v>43573</v>
      </c>
      <c r="U136" s="12">
        <v>43570</v>
      </c>
      <c r="V136" s="11">
        <v>43572</v>
      </c>
      <c r="W136" s="12">
        <v>43565</v>
      </c>
      <c r="X136" s="11">
        <v>43582</v>
      </c>
      <c r="Y136" s="12">
        <v>43577</v>
      </c>
      <c r="Z136" s="11">
        <v>43575</v>
      </c>
      <c r="AA136" s="12">
        <v>43574</v>
      </c>
      <c r="AB136" s="11">
        <v>43581</v>
      </c>
      <c r="AC136" s="12">
        <v>43581</v>
      </c>
      <c r="AD136" s="34"/>
      <c r="AE136" s="33">
        <f t="shared" si="25"/>
        <v>43565</v>
      </c>
      <c r="AF136" s="33">
        <f t="shared" si="26"/>
        <v>43578.5</v>
      </c>
      <c r="AG136" s="33">
        <f t="shared" si="27"/>
        <v>43588</v>
      </c>
      <c r="AH136">
        <v>168</v>
      </c>
      <c r="AK136" s="36" t="str">
        <f t="shared" si="28"/>
        <v/>
      </c>
      <c r="AL136" t="str">
        <f t="shared" si="32"/>
        <v/>
      </c>
      <c r="AM136" t="s">
        <v>393</v>
      </c>
      <c r="AN136">
        <f t="shared" si="29"/>
        <v>23</v>
      </c>
      <c r="AO136" t="str">
        <f t="shared" si="30"/>
        <v>10.4.---23.4.---3.5.</v>
      </c>
      <c r="AP136" t="str">
        <f t="shared" si="31"/>
        <v>Punakuiri</v>
      </c>
      <c r="AQ136" t="str">
        <f t="shared" si="33"/>
        <v>(10.4.---23.4.---3.5.)</v>
      </c>
    </row>
    <row r="137" spans="1:43" x14ac:dyDescent="0.2">
      <c r="A137" s="1"/>
      <c r="B137" s="9">
        <f t="shared" si="24"/>
        <v>132</v>
      </c>
      <c r="C137" s="10"/>
      <c r="D137" s="9" t="s">
        <v>131</v>
      </c>
      <c r="E137" s="10"/>
      <c r="F137" s="11">
        <v>43587</v>
      </c>
      <c r="G137" s="12">
        <v>43590</v>
      </c>
      <c r="H137" s="11">
        <v>43586</v>
      </c>
      <c r="I137" s="12">
        <v>43588</v>
      </c>
      <c r="J137" s="11">
        <v>43585</v>
      </c>
      <c r="K137" s="12">
        <v>43588</v>
      </c>
      <c r="L137" s="11">
        <v>43590</v>
      </c>
      <c r="M137" s="12">
        <v>43590</v>
      </c>
      <c r="N137" s="11">
        <v>43585</v>
      </c>
      <c r="O137" s="12">
        <v>43590</v>
      </c>
      <c r="P137" s="11">
        <v>43588</v>
      </c>
      <c r="Q137" s="12">
        <v>43593</v>
      </c>
      <c r="R137" s="11">
        <v>43583</v>
      </c>
      <c r="S137" s="12">
        <v>43589</v>
      </c>
      <c r="T137" s="11">
        <v>43589</v>
      </c>
      <c r="U137" s="12">
        <v>43590</v>
      </c>
      <c r="V137" s="11">
        <v>43589</v>
      </c>
      <c r="W137" s="12">
        <v>43590</v>
      </c>
      <c r="X137" s="11">
        <v>43586</v>
      </c>
      <c r="Y137" s="12">
        <v>43596</v>
      </c>
      <c r="Z137" s="11">
        <v>43588</v>
      </c>
      <c r="AA137" s="12">
        <v>43594</v>
      </c>
      <c r="AB137" s="11">
        <v>43594</v>
      </c>
      <c r="AC137" s="12">
        <v>43592</v>
      </c>
      <c r="AD137" s="34"/>
      <c r="AE137" s="33">
        <f t="shared" si="25"/>
        <v>43583</v>
      </c>
      <c r="AF137" s="33">
        <f t="shared" si="26"/>
        <v>43589</v>
      </c>
      <c r="AG137" s="33">
        <f t="shared" si="27"/>
        <v>43596</v>
      </c>
      <c r="AH137">
        <v>169</v>
      </c>
      <c r="AK137" s="36" t="str">
        <f t="shared" si="28"/>
        <v/>
      </c>
      <c r="AL137" t="str">
        <f t="shared" si="32"/>
        <v/>
      </c>
      <c r="AM137" t="s">
        <v>393</v>
      </c>
      <c r="AN137">
        <f t="shared" si="29"/>
        <v>13</v>
      </c>
      <c r="AO137" t="str">
        <f t="shared" si="30"/>
        <v>28.4.---4.5.---11.5.</v>
      </c>
      <c r="AP137" t="str">
        <f t="shared" si="31"/>
        <v>Karikukko</v>
      </c>
      <c r="AQ137" t="str">
        <f t="shared" si="33"/>
        <v>(28.4.---4.5.---11.5.)</v>
      </c>
    </row>
    <row r="138" spans="1:43" x14ac:dyDescent="0.2">
      <c r="A138" s="1"/>
      <c r="B138" s="9">
        <f t="shared" si="24"/>
        <v>133</v>
      </c>
      <c r="C138" s="10"/>
      <c r="D138" s="9" t="s">
        <v>132</v>
      </c>
      <c r="E138" s="10"/>
      <c r="F138" s="11">
        <v>43599</v>
      </c>
      <c r="G138" s="12">
        <v>43597</v>
      </c>
      <c r="H138" s="11">
        <v>43597</v>
      </c>
      <c r="I138" s="12">
        <v>43596</v>
      </c>
      <c r="J138" s="11">
        <v>43595</v>
      </c>
      <c r="K138" s="12">
        <v>43601</v>
      </c>
      <c r="L138" s="11">
        <v>43598</v>
      </c>
      <c r="M138" s="12">
        <v>43591</v>
      </c>
      <c r="N138" s="11">
        <v>43597</v>
      </c>
      <c r="O138" s="12">
        <v>43598</v>
      </c>
      <c r="P138" s="11">
        <v>43599</v>
      </c>
      <c r="Q138" s="12">
        <v>43597</v>
      </c>
      <c r="R138" s="11">
        <v>43584</v>
      </c>
      <c r="S138" s="12">
        <v>43594</v>
      </c>
      <c r="T138" s="11">
        <v>43595</v>
      </c>
      <c r="U138" s="12">
        <v>43590</v>
      </c>
      <c r="V138" s="11">
        <v>43597</v>
      </c>
      <c r="W138" s="12">
        <v>43597</v>
      </c>
      <c r="X138" s="11">
        <v>43604</v>
      </c>
      <c r="Y138" s="12">
        <v>43591</v>
      </c>
      <c r="Z138" s="11">
        <v>43596</v>
      </c>
      <c r="AA138" s="12">
        <v>43601</v>
      </c>
      <c r="AB138" s="11">
        <v>43592</v>
      </c>
      <c r="AC138" s="12">
        <v>43592</v>
      </c>
      <c r="AD138" s="34"/>
      <c r="AE138" s="33">
        <f t="shared" si="25"/>
        <v>43584</v>
      </c>
      <c r="AF138" s="33">
        <f t="shared" si="26"/>
        <v>43597</v>
      </c>
      <c r="AG138" s="33">
        <f t="shared" si="27"/>
        <v>43604</v>
      </c>
      <c r="AH138">
        <v>170</v>
      </c>
      <c r="AK138" s="36" t="str">
        <f t="shared" si="28"/>
        <v/>
      </c>
      <c r="AL138" t="str">
        <f t="shared" si="32"/>
        <v/>
      </c>
      <c r="AM138" t="s">
        <v>393</v>
      </c>
      <c r="AN138">
        <f t="shared" si="29"/>
        <v>20</v>
      </c>
      <c r="AO138" t="str">
        <f t="shared" si="30"/>
        <v>29.4.---12.5.---19.5.</v>
      </c>
      <c r="AP138" t="str">
        <f t="shared" si="31"/>
        <v>Isosirri</v>
      </c>
      <c r="AQ138" t="str">
        <f t="shared" si="33"/>
        <v>(29.4.---12.5.---19.5.)</v>
      </c>
    </row>
    <row r="139" spans="1:43" x14ac:dyDescent="0.2">
      <c r="A139" s="1"/>
      <c r="B139" s="9">
        <f t="shared" si="24"/>
        <v>134</v>
      </c>
      <c r="C139" s="10"/>
      <c r="D139" s="9" t="s">
        <v>133</v>
      </c>
      <c r="E139" s="10"/>
      <c r="F139" s="11">
        <v>43572</v>
      </c>
      <c r="G139" s="12">
        <v>43580</v>
      </c>
      <c r="H139" s="11">
        <v>43579</v>
      </c>
      <c r="I139" s="12">
        <v>43574</v>
      </c>
      <c r="J139" s="11">
        <v>43575</v>
      </c>
      <c r="K139" s="12">
        <v>43575</v>
      </c>
      <c r="L139" s="11">
        <v>43579</v>
      </c>
      <c r="M139" s="12">
        <v>43580</v>
      </c>
      <c r="N139" s="11">
        <v>43581</v>
      </c>
      <c r="O139" s="12">
        <v>43580</v>
      </c>
      <c r="P139" s="11">
        <v>43583</v>
      </c>
      <c r="Q139" s="12">
        <v>43577</v>
      </c>
      <c r="R139" s="11">
        <v>43581</v>
      </c>
      <c r="S139" s="12">
        <v>43584</v>
      </c>
      <c r="T139" s="11">
        <v>43568</v>
      </c>
      <c r="U139" s="12">
        <v>43581</v>
      </c>
      <c r="V139" s="11">
        <v>43583</v>
      </c>
      <c r="W139" s="12">
        <v>43583</v>
      </c>
      <c r="X139" s="11">
        <v>43581</v>
      </c>
      <c r="Y139" s="12">
        <v>43576</v>
      </c>
      <c r="Z139" s="11">
        <v>43579</v>
      </c>
      <c r="AA139" s="12">
        <v>43575</v>
      </c>
      <c r="AB139" s="11">
        <v>43585</v>
      </c>
      <c r="AC139" s="12">
        <v>43575</v>
      </c>
      <c r="AD139" s="34"/>
      <c r="AE139" s="33">
        <f t="shared" si="25"/>
        <v>43568</v>
      </c>
      <c r="AF139" s="33">
        <f t="shared" si="26"/>
        <v>43579.5</v>
      </c>
      <c r="AG139" s="33">
        <f t="shared" si="27"/>
        <v>43585</v>
      </c>
      <c r="AH139">
        <v>171</v>
      </c>
      <c r="AK139" s="36" t="str">
        <f t="shared" si="28"/>
        <v/>
      </c>
      <c r="AL139" t="str">
        <f t="shared" si="32"/>
        <v/>
      </c>
      <c r="AM139" t="s">
        <v>393</v>
      </c>
      <c r="AN139">
        <f t="shared" si="29"/>
        <v>17</v>
      </c>
      <c r="AO139" t="str">
        <f t="shared" si="30"/>
        <v>13.4.---24.4.---30.4.</v>
      </c>
      <c r="AP139" t="str">
        <f t="shared" si="31"/>
        <v>Suokukko</v>
      </c>
      <c r="AQ139" t="str">
        <f t="shared" si="33"/>
        <v>(13.4.---24.4.---30.4.)</v>
      </c>
    </row>
    <row r="140" spans="1:43" x14ac:dyDescent="0.2">
      <c r="A140" s="1"/>
      <c r="B140" s="9">
        <f t="shared" si="24"/>
        <v>135</v>
      </c>
      <c r="C140" s="10"/>
      <c r="D140" s="9" t="s">
        <v>134</v>
      </c>
      <c r="E140" s="10"/>
      <c r="F140" s="11">
        <v>43607</v>
      </c>
      <c r="G140" s="12">
        <v>43601</v>
      </c>
      <c r="H140" s="11">
        <v>43608</v>
      </c>
      <c r="I140" s="12">
        <v>43605</v>
      </c>
      <c r="J140" s="11">
        <v>43604</v>
      </c>
      <c r="K140" s="12">
        <v>43602</v>
      </c>
      <c r="L140" s="11">
        <v>43600</v>
      </c>
      <c r="M140" s="12">
        <v>43605</v>
      </c>
      <c r="N140" s="11">
        <v>43603</v>
      </c>
      <c r="O140" s="12">
        <v>43605</v>
      </c>
      <c r="P140" s="11">
        <v>43607</v>
      </c>
      <c r="Q140" s="12">
        <v>43607</v>
      </c>
      <c r="R140" s="11">
        <v>43605</v>
      </c>
      <c r="S140" s="12">
        <v>43604</v>
      </c>
      <c r="T140" s="11">
        <v>43602</v>
      </c>
      <c r="U140" s="12">
        <v>43604</v>
      </c>
      <c r="V140" s="11">
        <v>43600</v>
      </c>
      <c r="W140" s="12">
        <v>43604</v>
      </c>
      <c r="X140" s="11">
        <v>43609</v>
      </c>
      <c r="Y140" s="12">
        <v>43601</v>
      </c>
      <c r="Z140" s="11">
        <v>43604</v>
      </c>
      <c r="AA140" s="12">
        <v>43608</v>
      </c>
      <c r="AB140" s="11">
        <v>43610</v>
      </c>
      <c r="AC140" s="12">
        <v>43607</v>
      </c>
      <c r="AD140" s="34"/>
      <c r="AE140" s="33">
        <f t="shared" si="25"/>
        <v>43600</v>
      </c>
      <c r="AF140" s="33">
        <f t="shared" si="26"/>
        <v>43604.5</v>
      </c>
      <c r="AG140" s="33">
        <f t="shared" si="27"/>
        <v>43610</v>
      </c>
      <c r="AH140">
        <v>173</v>
      </c>
      <c r="AK140" s="36" t="str">
        <f t="shared" si="28"/>
        <v/>
      </c>
      <c r="AL140" t="str">
        <f t="shared" si="32"/>
        <v/>
      </c>
      <c r="AM140" t="s">
        <v>393</v>
      </c>
      <c r="AN140">
        <f t="shared" si="29"/>
        <v>10</v>
      </c>
      <c r="AO140" t="str">
        <f t="shared" si="30"/>
        <v>15.5.---19.5.---25.5.</v>
      </c>
      <c r="AP140" t="str">
        <f t="shared" si="31"/>
        <v>Jänkäsirriäinen</v>
      </c>
      <c r="AQ140" t="str">
        <f t="shared" si="33"/>
        <v>(15.5.---19.5.---25.5.)</v>
      </c>
    </row>
    <row r="141" spans="1:43" x14ac:dyDescent="0.2">
      <c r="A141" s="1"/>
      <c r="B141" s="9">
        <f t="shared" si="24"/>
        <v>136</v>
      </c>
      <c r="C141" s="10"/>
      <c r="D141" s="9" t="s">
        <v>135</v>
      </c>
      <c r="E141" s="10"/>
      <c r="F141" s="11">
        <v>43605</v>
      </c>
      <c r="G141" s="12">
        <v>43611</v>
      </c>
      <c r="H141" s="11">
        <v>43599</v>
      </c>
      <c r="I141" s="12">
        <v>43599</v>
      </c>
      <c r="J141" s="11">
        <v>43595</v>
      </c>
      <c r="K141" s="12">
        <v>43614</v>
      </c>
      <c r="L141" s="11">
        <v>43596</v>
      </c>
      <c r="M141" s="12">
        <v>43604</v>
      </c>
      <c r="N141" s="11">
        <v>43598</v>
      </c>
      <c r="O141" s="12">
        <v>43598</v>
      </c>
      <c r="P141" s="11">
        <v>43614</v>
      </c>
      <c r="Q141" s="12">
        <v>43599</v>
      </c>
      <c r="R141" s="11">
        <v>43597</v>
      </c>
      <c r="S141" s="12">
        <v>43603</v>
      </c>
      <c r="T141" s="11">
        <v>43596</v>
      </c>
      <c r="U141" s="12">
        <v>43608</v>
      </c>
      <c r="V141" s="11">
        <v>43601</v>
      </c>
      <c r="W141" s="12">
        <v>43612</v>
      </c>
      <c r="X141" s="11">
        <v>43600</v>
      </c>
      <c r="Y141" s="12">
        <v>43610</v>
      </c>
      <c r="Z141" s="11">
        <v>43601</v>
      </c>
      <c r="AA141" s="12">
        <v>43599</v>
      </c>
      <c r="AB141" s="11">
        <v>43619</v>
      </c>
      <c r="AC141" s="12">
        <v>43594</v>
      </c>
      <c r="AD141" s="34"/>
      <c r="AE141" s="33">
        <f t="shared" si="25"/>
        <v>43594</v>
      </c>
      <c r="AF141" s="33">
        <f t="shared" si="26"/>
        <v>43600.5</v>
      </c>
      <c r="AG141" s="33">
        <f t="shared" si="27"/>
        <v>43619</v>
      </c>
      <c r="AH141">
        <v>174</v>
      </c>
      <c r="AK141" s="36" t="str">
        <f t="shared" si="28"/>
        <v/>
      </c>
      <c r="AL141" t="str">
        <f t="shared" si="32"/>
        <v/>
      </c>
      <c r="AM141" t="s">
        <v>393</v>
      </c>
      <c r="AN141">
        <f t="shared" si="29"/>
        <v>25</v>
      </c>
      <c r="AO141" t="str">
        <f t="shared" si="30"/>
        <v>9.5.---15.5.---3.6.</v>
      </c>
      <c r="AP141" t="str">
        <f t="shared" si="31"/>
        <v>Kuovisirri</v>
      </c>
      <c r="AQ141" t="str">
        <f t="shared" si="33"/>
        <v>(9.5.---15.5.---3.6.)</v>
      </c>
    </row>
    <row r="142" spans="1:43" x14ac:dyDescent="0.2">
      <c r="A142" s="1"/>
      <c r="B142" s="9">
        <f t="shared" si="24"/>
        <v>137</v>
      </c>
      <c r="C142" s="10"/>
      <c r="D142" s="9" t="s">
        <v>136</v>
      </c>
      <c r="E142" s="10"/>
      <c r="F142" s="11">
        <v>43585</v>
      </c>
      <c r="G142" s="12">
        <v>43594</v>
      </c>
      <c r="H142" s="11">
        <v>43583</v>
      </c>
      <c r="I142" s="12">
        <v>43591</v>
      </c>
      <c r="J142" s="11">
        <v>43587</v>
      </c>
      <c r="K142" s="12">
        <v>43590</v>
      </c>
      <c r="L142" s="11">
        <v>43584</v>
      </c>
      <c r="M142" s="12">
        <v>43588</v>
      </c>
      <c r="N142" s="11">
        <v>43592</v>
      </c>
      <c r="O142" s="12">
        <v>43591</v>
      </c>
      <c r="P142" s="11">
        <v>43592</v>
      </c>
      <c r="Q142" s="12">
        <v>43591</v>
      </c>
      <c r="R142" s="11">
        <v>43585</v>
      </c>
      <c r="S142" s="12">
        <v>43592</v>
      </c>
      <c r="T142" s="11">
        <v>43593</v>
      </c>
      <c r="U142" s="12">
        <v>43590</v>
      </c>
      <c r="V142" s="11">
        <v>43589</v>
      </c>
      <c r="W142" s="12">
        <v>43592</v>
      </c>
      <c r="X142" s="11">
        <v>43590</v>
      </c>
      <c r="Y142" s="12">
        <v>43584</v>
      </c>
      <c r="Z142" s="11">
        <v>43588</v>
      </c>
      <c r="AA142" s="12">
        <v>43594</v>
      </c>
      <c r="AB142" s="11">
        <v>43593</v>
      </c>
      <c r="AC142" s="12">
        <v>43591</v>
      </c>
      <c r="AD142" s="34"/>
      <c r="AE142" s="33">
        <f t="shared" si="25"/>
        <v>43583</v>
      </c>
      <c r="AF142" s="33">
        <f t="shared" si="26"/>
        <v>43590.5</v>
      </c>
      <c r="AG142" s="33">
        <f t="shared" si="27"/>
        <v>43594</v>
      </c>
      <c r="AH142">
        <v>178</v>
      </c>
      <c r="AK142" s="36" t="str">
        <f t="shared" si="28"/>
        <v/>
      </c>
      <c r="AL142" t="str">
        <f t="shared" si="32"/>
        <v/>
      </c>
      <c r="AM142" t="s">
        <v>393</v>
      </c>
      <c r="AN142">
        <f t="shared" si="29"/>
        <v>11</v>
      </c>
      <c r="AO142" t="str">
        <f t="shared" si="30"/>
        <v>28.4.---5.5.---9.5.</v>
      </c>
      <c r="AP142" t="str">
        <f t="shared" si="31"/>
        <v>Lapinsirri</v>
      </c>
      <c r="AQ142" t="str">
        <f t="shared" si="33"/>
        <v>(28.4.---5.5.---9.5.)</v>
      </c>
    </row>
    <row r="143" spans="1:43" x14ac:dyDescent="0.2">
      <c r="A143" s="1"/>
      <c r="B143" s="9">
        <f t="shared" si="24"/>
        <v>138</v>
      </c>
      <c r="C143" s="10"/>
      <c r="D143" s="9" t="s">
        <v>137</v>
      </c>
      <c r="E143" s="10"/>
      <c r="F143" s="11">
        <v>43613</v>
      </c>
      <c r="G143" s="12">
        <v>43611</v>
      </c>
      <c r="H143" s="11">
        <v>43604</v>
      </c>
      <c r="I143" s="12">
        <v>43600</v>
      </c>
      <c r="J143" s="11">
        <v>43602</v>
      </c>
      <c r="K143" s="12">
        <v>43605</v>
      </c>
      <c r="L143" s="11">
        <v>43612</v>
      </c>
      <c r="M143" s="12">
        <v>43603</v>
      </c>
      <c r="N143" s="11">
        <v>43609</v>
      </c>
      <c r="O143" s="12">
        <v>43609</v>
      </c>
      <c r="P143" s="11">
        <v>43623</v>
      </c>
      <c r="Q143" s="12">
        <v>43605</v>
      </c>
      <c r="R143" s="11">
        <v>43602</v>
      </c>
      <c r="S143" s="12">
        <v>43602</v>
      </c>
      <c r="T143" s="11">
        <v>43610</v>
      </c>
      <c r="U143" s="12">
        <v>43596</v>
      </c>
      <c r="V143" s="11">
        <v>43600</v>
      </c>
      <c r="W143" s="12">
        <v>43612</v>
      </c>
      <c r="X143" s="11">
        <v>43611</v>
      </c>
      <c r="Y143" s="12">
        <v>43602</v>
      </c>
      <c r="Z143" s="11">
        <v>43606</v>
      </c>
      <c r="AA143" s="12">
        <v>43618</v>
      </c>
      <c r="AB143" s="11">
        <v>43606</v>
      </c>
      <c r="AC143" s="12">
        <v>43601</v>
      </c>
      <c r="AD143" s="34"/>
      <c r="AE143" s="33">
        <f t="shared" si="25"/>
        <v>43596</v>
      </c>
      <c r="AF143" s="33">
        <f t="shared" si="26"/>
        <v>43605.5</v>
      </c>
      <c r="AG143" s="33">
        <f t="shared" si="27"/>
        <v>43623</v>
      </c>
      <c r="AH143">
        <v>179</v>
      </c>
      <c r="AK143" s="36" t="str">
        <f t="shared" si="28"/>
        <v/>
      </c>
      <c r="AL143" t="str">
        <f t="shared" si="32"/>
        <v/>
      </c>
      <c r="AM143" t="s">
        <v>393</v>
      </c>
      <c r="AN143">
        <f t="shared" si="29"/>
        <v>27</v>
      </c>
      <c r="AO143" t="str">
        <f t="shared" si="30"/>
        <v>11.5.---20.5.---7.6.</v>
      </c>
      <c r="AP143" t="str">
        <f t="shared" si="31"/>
        <v>Pulmussirri</v>
      </c>
      <c r="AQ143" t="str">
        <f t="shared" si="33"/>
        <v>(11.5.---20.5.---7.6.)</v>
      </c>
    </row>
    <row r="144" spans="1:43" x14ac:dyDescent="0.2">
      <c r="A144" s="1"/>
      <c r="B144" s="9">
        <f t="shared" si="24"/>
        <v>139</v>
      </c>
      <c r="C144" s="10"/>
      <c r="D144" s="9" t="s">
        <v>138</v>
      </c>
      <c r="E144" s="10"/>
      <c r="F144" s="11">
        <v>43575</v>
      </c>
      <c r="G144" s="12">
        <v>43577</v>
      </c>
      <c r="H144" s="11">
        <v>43586</v>
      </c>
      <c r="I144" s="12">
        <v>43581</v>
      </c>
      <c r="J144" s="11">
        <v>43572</v>
      </c>
      <c r="K144" s="12">
        <v>43582</v>
      </c>
      <c r="L144" s="11">
        <v>43575</v>
      </c>
      <c r="M144" s="12">
        <v>43573</v>
      </c>
      <c r="N144" s="11">
        <v>43578</v>
      </c>
      <c r="O144" s="12">
        <v>43581</v>
      </c>
      <c r="P144" s="11">
        <v>43573</v>
      </c>
      <c r="Q144" s="12">
        <v>43573</v>
      </c>
      <c r="R144" s="11">
        <v>43577</v>
      </c>
      <c r="S144" s="12">
        <v>43577</v>
      </c>
      <c r="T144" s="11">
        <v>43575</v>
      </c>
      <c r="U144" s="12">
        <v>43583</v>
      </c>
      <c r="V144" s="11">
        <v>43573</v>
      </c>
      <c r="W144" s="12">
        <v>43583</v>
      </c>
      <c r="X144" s="11">
        <v>43575</v>
      </c>
      <c r="Y144" s="12">
        <v>43579</v>
      </c>
      <c r="Z144" s="11">
        <v>43566</v>
      </c>
      <c r="AA144" s="12">
        <v>43578</v>
      </c>
      <c r="AB144" s="11">
        <v>43585</v>
      </c>
      <c r="AC144" s="12">
        <v>43578</v>
      </c>
      <c r="AD144" s="34"/>
      <c r="AE144" s="33">
        <f t="shared" si="25"/>
        <v>43566</v>
      </c>
      <c r="AF144" s="33">
        <f t="shared" si="26"/>
        <v>43577</v>
      </c>
      <c r="AG144" s="33">
        <f t="shared" si="27"/>
        <v>43586</v>
      </c>
      <c r="AH144">
        <v>180</v>
      </c>
      <c r="AK144" s="36" t="str">
        <f t="shared" si="28"/>
        <v/>
      </c>
      <c r="AL144" t="str">
        <f t="shared" si="32"/>
        <v/>
      </c>
      <c r="AM144" t="s">
        <v>393</v>
      </c>
      <c r="AN144">
        <f t="shared" si="29"/>
        <v>20</v>
      </c>
      <c r="AO144" t="str">
        <f t="shared" si="30"/>
        <v>11.4.---22.4.---1.5.</v>
      </c>
      <c r="AP144" t="str">
        <f t="shared" si="31"/>
        <v>Suosirri</v>
      </c>
      <c r="AQ144" t="str">
        <f t="shared" si="33"/>
        <v>(11.4.---22.4.---1.5.)</v>
      </c>
    </row>
    <row r="145" spans="1:43" x14ac:dyDescent="0.2">
      <c r="A145" s="1"/>
      <c r="B145" s="9">
        <f t="shared" si="24"/>
        <v>140</v>
      </c>
      <c r="C145" s="10"/>
      <c r="D145" s="9" t="s">
        <v>139</v>
      </c>
      <c r="E145" s="10"/>
      <c r="F145" s="11">
        <v>43754</v>
      </c>
      <c r="G145" s="12">
        <v>43750</v>
      </c>
      <c r="H145" s="11">
        <v>43728</v>
      </c>
      <c r="I145" s="12">
        <v>43721</v>
      </c>
      <c r="J145" s="11">
        <v>43739</v>
      </c>
      <c r="K145" s="12">
        <v>43744</v>
      </c>
      <c r="L145" s="11">
        <v>43732</v>
      </c>
      <c r="M145" s="12">
        <v>43731</v>
      </c>
      <c r="N145" s="11">
        <v>43734</v>
      </c>
      <c r="O145" s="12">
        <v>43725</v>
      </c>
      <c r="P145" s="11">
        <v>43741</v>
      </c>
      <c r="Q145" s="12">
        <v>43736</v>
      </c>
      <c r="R145" s="11">
        <v>43723</v>
      </c>
      <c r="S145" s="12">
        <v>43743</v>
      </c>
      <c r="T145" s="11">
        <v>43737</v>
      </c>
      <c r="U145" s="12">
        <v>43738</v>
      </c>
      <c r="V145" s="11">
        <v>43742</v>
      </c>
      <c r="W145" s="12">
        <v>43605</v>
      </c>
      <c r="X145" s="11">
        <v>43604</v>
      </c>
      <c r="Y145" s="12">
        <v>43743</v>
      </c>
      <c r="Z145" s="11">
        <v>43604</v>
      </c>
      <c r="AA145" s="12">
        <v>43466</v>
      </c>
      <c r="AB145" s="11">
        <v>43741</v>
      </c>
      <c r="AC145" s="12">
        <v>43750</v>
      </c>
      <c r="AD145" s="34"/>
      <c r="AE145" s="33">
        <f t="shared" si="25"/>
        <v>43466</v>
      </c>
      <c r="AF145" s="33">
        <f t="shared" si="26"/>
        <v>43736.5</v>
      </c>
      <c r="AG145" s="33">
        <f t="shared" si="27"/>
        <v>43754</v>
      </c>
      <c r="AH145">
        <v>181</v>
      </c>
      <c r="AK145" s="36" t="str">
        <f t="shared" si="28"/>
        <v/>
      </c>
      <c r="AL145" t="str">
        <f t="shared" si="32"/>
        <v/>
      </c>
      <c r="AM145" t="s">
        <v>393</v>
      </c>
      <c r="AN145">
        <f t="shared" si="29"/>
        <v>288</v>
      </c>
      <c r="AO145" t="str">
        <f t="shared" si="30"/>
        <v>1.1.---28.9.---16.10.</v>
      </c>
      <c r="AP145" t="str">
        <f t="shared" si="31"/>
        <v>Merisirri</v>
      </c>
      <c r="AQ145" t="str">
        <f t="shared" si="33"/>
        <v>(1.1.---28.9.---16.10.)</v>
      </c>
    </row>
    <row r="146" spans="1:43" x14ac:dyDescent="0.2">
      <c r="A146" s="1"/>
      <c r="B146" s="9">
        <f t="shared" si="24"/>
        <v>141</v>
      </c>
      <c r="C146" s="10"/>
      <c r="D146" s="15" t="s">
        <v>140</v>
      </c>
      <c r="E146" s="16"/>
      <c r="F146" s="11"/>
      <c r="G146" s="12"/>
      <c r="H146" s="11"/>
      <c r="I146" s="12"/>
      <c r="J146" s="11"/>
      <c r="K146" s="12"/>
      <c r="L146" s="11"/>
      <c r="M146" s="12"/>
      <c r="N146" s="11"/>
      <c r="O146" s="12"/>
      <c r="P146" s="11"/>
      <c r="Q146" s="12"/>
      <c r="R146" s="11"/>
      <c r="S146" s="12"/>
      <c r="T146" s="11"/>
      <c r="U146" s="12"/>
      <c r="V146" s="11"/>
      <c r="W146" s="12"/>
      <c r="X146" s="11"/>
      <c r="Y146" s="12">
        <v>43757</v>
      </c>
      <c r="Z146" s="11"/>
      <c r="AA146" s="12"/>
      <c r="AB146" s="11"/>
      <c r="AC146" s="12" t="s">
        <v>393</v>
      </c>
      <c r="AD146" s="34"/>
      <c r="AE146" s="33">
        <f t="shared" si="25"/>
        <v>43757</v>
      </c>
      <c r="AF146" s="33">
        <f t="shared" si="26"/>
        <v>43757</v>
      </c>
      <c r="AG146" s="33">
        <f t="shared" si="27"/>
        <v>43757</v>
      </c>
      <c r="AH146">
        <v>182</v>
      </c>
      <c r="AK146" s="36" t="str">
        <f t="shared" si="28"/>
        <v/>
      </c>
      <c r="AL146" t="str">
        <f t="shared" si="32"/>
        <v/>
      </c>
      <c r="AM146" t="s">
        <v>393</v>
      </c>
      <c r="AN146">
        <f t="shared" si="29"/>
        <v>0</v>
      </c>
      <c r="AO146" t="str">
        <f t="shared" si="30"/>
        <v>19.10.---19.10.---19.10.</v>
      </c>
      <c r="AP146" t="str">
        <f t="shared" si="31"/>
        <v>Eskimosirri</v>
      </c>
      <c r="AQ146" t="str">
        <f t="shared" si="33"/>
        <v>(19.10.---19.10.---19.10.)</v>
      </c>
    </row>
    <row r="147" spans="1:43" x14ac:dyDescent="0.2">
      <c r="A147" s="1"/>
      <c r="B147" s="9">
        <f t="shared" si="24"/>
        <v>142</v>
      </c>
      <c r="C147" s="10"/>
      <c r="D147" s="9" t="s">
        <v>141</v>
      </c>
      <c r="E147" s="10"/>
      <c r="F147" s="11">
        <v>43603</v>
      </c>
      <c r="G147" s="12">
        <v>43611</v>
      </c>
      <c r="H147" s="11">
        <v>43606</v>
      </c>
      <c r="I147" s="12">
        <v>43602</v>
      </c>
      <c r="J147" s="11">
        <v>43602</v>
      </c>
      <c r="K147" s="12">
        <v>43605</v>
      </c>
      <c r="L147" s="11">
        <v>43612</v>
      </c>
      <c r="M147" s="12">
        <v>43613</v>
      </c>
      <c r="N147" s="11">
        <v>43608</v>
      </c>
      <c r="O147" s="12">
        <v>43605</v>
      </c>
      <c r="P147" s="11">
        <v>43610</v>
      </c>
      <c r="Q147" s="12">
        <v>43598</v>
      </c>
      <c r="R147" s="11">
        <v>43601</v>
      </c>
      <c r="S147" s="12">
        <v>43604</v>
      </c>
      <c r="T147" s="11">
        <v>43609</v>
      </c>
      <c r="U147" s="12">
        <v>43608</v>
      </c>
      <c r="V147" s="11">
        <v>43601</v>
      </c>
      <c r="W147" s="12">
        <v>43604</v>
      </c>
      <c r="X147" s="11">
        <v>43611</v>
      </c>
      <c r="Y147" s="12">
        <v>43604</v>
      </c>
      <c r="Z147" s="11">
        <v>43597</v>
      </c>
      <c r="AA147" s="12">
        <v>43600</v>
      </c>
      <c r="AB147" s="11">
        <v>43605</v>
      </c>
      <c r="AC147" s="12">
        <v>43602</v>
      </c>
      <c r="AD147" s="34"/>
      <c r="AE147" s="33">
        <f t="shared" si="25"/>
        <v>43597</v>
      </c>
      <c r="AF147" s="33">
        <f t="shared" si="26"/>
        <v>43604.5</v>
      </c>
      <c r="AG147" s="33">
        <f t="shared" si="27"/>
        <v>43613</v>
      </c>
      <c r="AH147">
        <v>183</v>
      </c>
      <c r="AK147" s="36" t="str">
        <f t="shared" si="28"/>
        <v/>
      </c>
      <c r="AL147" t="str">
        <f t="shared" si="32"/>
        <v/>
      </c>
      <c r="AM147" t="s">
        <v>393</v>
      </c>
      <c r="AN147">
        <f t="shared" si="29"/>
        <v>16</v>
      </c>
      <c r="AO147" t="str">
        <f t="shared" si="30"/>
        <v>12.5.---19.5.---28.5.</v>
      </c>
      <c r="AP147" t="str">
        <f t="shared" si="31"/>
        <v>Pikkusirri</v>
      </c>
      <c r="AQ147" t="str">
        <f t="shared" si="33"/>
        <v>(12.5.---19.5.---28.5.)</v>
      </c>
    </row>
    <row r="148" spans="1:43" x14ac:dyDescent="0.2">
      <c r="A148" s="1"/>
      <c r="B148" s="9">
        <f t="shared" si="24"/>
        <v>143</v>
      </c>
      <c r="C148" s="10"/>
      <c r="D148" s="15" t="s">
        <v>142</v>
      </c>
      <c r="E148" s="16"/>
      <c r="F148" s="11"/>
      <c r="G148" s="12"/>
      <c r="H148" s="11"/>
      <c r="I148" s="12"/>
      <c r="J148" s="11"/>
      <c r="K148" s="12"/>
      <c r="L148" s="11"/>
      <c r="M148" s="12"/>
      <c r="N148" s="11"/>
      <c r="O148" s="12"/>
      <c r="P148" s="11">
        <v>43656</v>
      </c>
      <c r="Q148" s="12"/>
      <c r="R148" s="11"/>
      <c r="S148" s="12"/>
      <c r="T148" s="11"/>
      <c r="U148" s="12"/>
      <c r="V148" s="11"/>
      <c r="W148" s="12"/>
      <c r="X148" s="11"/>
      <c r="Y148" s="12"/>
      <c r="Z148" s="11"/>
      <c r="AA148" s="12"/>
      <c r="AB148" s="11"/>
      <c r="AC148" s="12">
        <v>43709</v>
      </c>
      <c r="AD148" s="34"/>
      <c r="AE148" s="33">
        <f t="shared" si="25"/>
        <v>43656</v>
      </c>
      <c r="AF148" s="33">
        <f t="shared" si="26"/>
        <v>43682.5</v>
      </c>
      <c r="AG148" s="33">
        <f t="shared" si="27"/>
        <v>43709</v>
      </c>
      <c r="AH148">
        <v>184</v>
      </c>
      <c r="AK148" s="36" t="str">
        <f t="shared" si="28"/>
        <v/>
      </c>
      <c r="AL148" t="str">
        <f t="shared" si="32"/>
        <v/>
      </c>
      <c r="AM148" t="s">
        <v>393</v>
      </c>
      <c r="AN148">
        <f t="shared" si="29"/>
        <v>53</v>
      </c>
      <c r="AO148" t="str">
        <f t="shared" si="30"/>
        <v>10.7.---5.8.---1.9.</v>
      </c>
      <c r="AP148" t="str">
        <f t="shared" si="31"/>
        <v>Valkoperäsirri</v>
      </c>
      <c r="AQ148" t="str">
        <f t="shared" si="33"/>
        <v>(10.7.---5.8.---1.9.)</v>
      </c>
    </row>
    <row r="149" spans="1:43" x14ac:dyDescent="0.2">
      <c r="A149" s="1"/>
      <c r="B149" s="9">
        <f t="shared" si="24"/>
        <v>144</v>
      </c>
      <c r="C149" s="10"/>
      <c r="D149" s="15" t="s">
        <v>143</v>
      </c>
      <c r="E149" s="16"/>
      <c r="F149" s="11"/>
      <c r="G149" s="12"/>
      <c r="H149" s="11"/>
      <c r="I149" s="12"/>
      <c r="J149" s="11"/>
      <c r="K149" s="12"/>
      <c r="L149" s="11"/>
      <c r="M149" s="12"/>
      <c r="N149" s="11">
        <v>43735</v>
      </c>
      <c r="O149" s="12"/>
      <c r="P149" s="11">
        <v>43711</v>
      </c>
      <c r="Q149" s="12">
        <v>43633</v>
      </c>
      <c r="R149" s="11">
        <v>43617</v>
      </c>
      <c r="S149" s="12"/>
      <c r="T149" s="11"/>
      <c r="U149" s="12"/>
      <c r="V149" s="11"/>
      <c r="W149" s="12"/>
      <c r="X149" s="11">
        <v>43672</v>
      </c>
      <c r="Y149" s="12"/>
      <c r="Z149" s="11"/>
      <c r="AA149" s="12"/>
      <c r="AB149" s="11"/>
      <c r="AC149" s="12">
        <v>43719</v>
      </c>
      <c r="AD149" s="34"/>
      <c r="AE149" s="33">
        <f t="shared" si="25"/>
        <v>43617</v>
      </c>
      <c r="AF149" s="33">
        <f t="shared" si="26"/>
        <v>43691.5</v>
      </c>
      <c r="AG149" s="33">
        <f t="shared" si="27"/>
        <v>43735</v>
      </c>
      <c r="AH149">
        <v>186</v>
      </c>
      <c r="AK149" s="36" t="str">
        <f t="shared" si="28"/>
        <v/>
      </c>
      <c r="AL149" t="str">
        <f t="shared" si="32"/>
        <v/>
      </c>
      <c r="AM149" t="s">
        <v>393</v>
      </c>
      <c r="AN149">
        <f t="shared" si="29"/>
        <v>118</v>
      </c>
      <c r="AO149" t="str">
        <f t="shared" si="30"/>
        <v>1.6.---14.8.---27.9.</v>
      </c>
      <c r="AP149" t="str">
        <f t="shared" si="31"/>
        <v>Tundravikla</v>
      </c>
      <c r="AQ149" t="str">
        <f t="shared" si="33"/>
        <v>(1.6.---14.8.---27.9.)</v>
      </c>
    </row>
    <row r="150" spans="1:43" x14ac:dyDescent="0.2">
      <c r="A150" s="1"/>
      <c r="B150" s="9">
        <f t="shared" si="24"/>
        <v>145</v>
      </c>
      <c r="C150" s="10"/>
      <c r="D150" s="15" t="s">
        <v>144</v>
      </c>
      <c r="E150" s="16"/>
      <c r="F150" s="11"/>
      <c r="G150" s="12"/>
      <c r="H150" s="11"/>
      <c r="I150" s="12">
        <v>43717</v>
      </c>
      <c r="J150" s="11">
        <v>43617</v>
      </c>
      <c r="K150" s="12"/>
      <c r="L150" s="11"/>
      <c r="M150" s="12">
        <v>43620</v>
      </c>
      <c r="N150" s="11">
        <v>43732</v>
      </c>
      <c r="O150" s="12"/>
      <c r="P150" s="11"/>
      <c r="Q150" s="12">
        <v>43681</v>
      </c>
      <c r="R150" s="11">
        <v>43745</v>
      </c>
      <c r="S150" s="12">
        <v>43614</v>
      </c>
      <c r="T150" s="11"/>
      <c r="U150" s="12"/>
      <c r="V150" s="11"/>
      <c r="W150" s="12"/>
      <c r="X150" s="11">
        <v>43675</v>
      </c>
      <c r="Y150" s="12"/>
      <c r="Z150" s="11"/>
      <c r="AA150" s="12">
        <v>43733</v>
      </c>
      <c r="AB150" s="11"/>
      <c r="AC150" s="12" t="s">
        <v>393</v>
      </c>
      <c r="AD150" s="34"/>
      <c r="AE150" s="33">
        <f t="shared" si="25"/>
        <v>43614</v>
      </c>
      <c r="AF150" s="33">
        <f t="shared" si="26"/>
        <v>43681</v>
      </c>
      <c r="AG150" s="33">
        <f t="shared" si="27"/>
        <v>43745</v>
      </c>
      <c r="AH150">
        <v>187</v>
      </c>
      <c r="AK150" s="36" t="str">
        <f t="shared" si="28"/>
        <v/>
      </c>
      <c r="AL150" t="str">
        <f t="shared" si="32"/>
        <v/>
      </c>
      <c r="AM150" t="s">
        <v>393</v>
      </c>
      <c r="AN150">
        <f t="shared" si="29"/>
        <v>131</v>
      </c>
      <c r="AO150" t="str">
        <f t="shared" si="30"/>
        <v>29.5.---4.8.---7.10.</v>
      </c>
      <c r="AP150" t="str">
        <f t="shared" si="31"/>
        <v>Palsasirri</v>
      </c>
      <c r="AQ150" t="str">
        <f t="shared" si="33"/>
        <v>(29.5.---4.8.---7.10.)</v>
      </c>
    </row>
    <row r="151" spans="1:43" x14ac:dyDescent="0.2">
      <c r="A151" s="1"/>
      <c r="B151" s="9">
        <f t="shared" si="24"/>
        <v>146</v>
      </c>
      <c r="C151" s="10"/>
      <c r="D151" s="9" t="s">
        <v>145</v>
      </c>
      <c r="E151" s="10"/>
      <c r="F151" s="11">
        <v>43605</v>
      </c>
      <c r="G151" s="12">
        <v>43600</v>
      </c>
      <c r="H151" s="11">
        <v>43597</v>
      </c>
      <c r="I151" s="12">
        <v>43604</v>
      </c>
      <c r="J151" s="11">
        <v>43604</v>
      </c>
      <c r="K151" s="12">
        <v>43601</v>
      </c>
      <c r="L151" s="11">
        <v>43603</v>
      </c>
      <c r="M151" s="12">
        <v>43603</v>
      </c>
      <c r="N151" s="11">
        <v>43604</v>
      </c>
      <c r="O151" s="12">
        <v>43600</v>
      </c>
      <c r="P151" s="11">
        <v>43607</v>
      </c>
      <c r="Q151" s="12">
        <v>43606</v>
      </c>
      <c r="R151" s="11">
        <v>43598</v>
      </c>
      <c r="S151" s="12">
        <v>43605</v>
      </c>
      <c r="T151" s="11">
        <v>43602</v>
      </c>
      <c r="U151" s="12">
        <v>43602</v>
      </c>
      <c r="V151" s="11">
        <v>43592</v>
      </c>
      <c r="W151" s="12">
        <v>43604</v>
      </c>
      <c r="X151" s="11">
        <v>43605</v>
      </c>
      <c r="Y151" s="12">
        <v>43598</v>
      </c>
      <c r="Z151" s="11">
        <v>43602</v>
      </c>
      <c r="AA151" s="12">
        <v>43600</v>
      </c>
      <c r="AB151" s="11">
        <v>43605</v>
      </c>
      <c r="AC151" s="12">
        <v>43609</v>
      </c>
      <c r="AD151" s="34"/>
      <c r="AE151" s="33">
        <f t="shared" si="25"/>
        <v>43592</v>
      </c>
      <c r="AF151" s="33">
        <f t="shared" si="26"/>
        <v>43603</v>
      </c>
      <c r="AG151" s="33">
        <f t="shared" si="27"/>
        <v>43609</v>
      </c>
      <c r="AH151">
        <v>189</v>
      </c>
      <c r="AK151" s="36" t="str">
        <f t="shared" si="28"/>
        <v/>
      </c>
      <c r="AL151" t="str">
        <f t="shared" si="32"/>
        <v/>
      </c>
      <c r="AM151" t="s">
        <v>393</v>
      </c>
      <c r="AN151">
        <f t="shared" si="29"/>
        <v>17</v>
      </c>
      <c r="AO151" t="str">
        <f t="shared" si="30"/>
        <v>7.5.---18.5.---24.5.</v>
      </c>
      <c r="AP151" t="str">
        <f t="shared" si="31"/>
        <v>Vesipääsky</v>
      </c>
      <c r="AQ151" t="str">
        <f t="shared" si="33"/>
        <v>(7.5.---18.5.---24.5.)</v>
      </c>
    </row>
    <row r="152" spans="1:43" x14ac:dyDescent="0.2">
      <c r="A152" s="1"/>
      <c r="B152" s="9">
        <f t="shared" si="24"/>
        <v>147</v>
      </c>
      <c r="C152" s="10"/>
      <c r="D152" s="15" t="s">
        <v>146</v>
      </c>
      <c r="E152" s="16"/>
      <c r="F152" s="11"/>
      <c r="G152" s="12"/>
      <c r="H152" s="11"/>
      <c r="I152" s="12"/>
      <c r="J152" s="11"/>
      <c r="K152" s="12">
        <v>43617</v>
      </c>
      <c r="L152" s="11"/>
      <c r="M152" s="12">
        <v>43613</v>
      </c>
      <c r="N152" s="11"/>
      <c r="O152" s="12"/>
      <c r="P152" s="11">
        <v>43757</v>
      </c>
      <c r="Q152" s="12"/>
      <c r="R152" s="11"/>
      <c r="S152" s="12"/>
      <c r="T152" s="11"/>
      <c r="U152" s="12"/>
      <c r="V152" s="11"/>
      <c r="W152" s="12">
        <v>43619</v>
      </c>
      <c r="X152" s="11"/>
      <c r="Y152" s="12"/>
      <c r="Z152" s="11"/>
      <c r="AA152" s="12"/>
      <c r="AB152" s="11"/>
      <c r="AC152" s="12" t="s">
        <v>393</v>
      </c>
      <c r="AD152" s="34"/>
      <c r="AE152" s="33">
        <f t="shared" si="25"/>
        <v>43613</v>
      </c>
      <c r="AF152" s="33">
        <f t="shared" si="26"/>
        <v>43618</v>
      </c>
      <c r="AG152" s="33">
        <f t="shared" si="27"/>
        <v>43757</v>
      </c>
      <c r="AH152">
        <v>190</v>
      </c>
      <c r="AK152" s="36" t="str">
        <f t="shared" si="28"/>
        <v/>
      </c>
      <c r="AL152" t="str">
        <f t="shared" si="32"/>
        <v/>
      </c>
      <c r="AM152" t="s">
        <v>393</v>
      </c>
      <c r="AN152">
        <f t="shared" si="29"/>
        <v>144</v>
      </c>
      <c r="AO152" t="str">
        <f t="shared" si="30"/>
        <v>28.5.---2.6.---19.10.</v>
      </c>
      <c r="AP152" t="str">
        <f t="shared" si="31"/>
        <v>Isovesipääsky</v>
      </c>
      <c r="AQ152" t="str">
        <f t="shared" si="33"/>
        <v>(28.5.---2.6.---19.10.)</v>
      </c>
    </row>
    <row r="153" spans="1:43" x14ac:dyDescent="0.2">
      <c r="A153" s="1"/>
      <c r="B153" s="9">
        <f t="shared" si="24"/>
        <v>148</v>
      </c>
      <c r="C153" s="10"/>
      <c r="D153" s="9" t="s">
        <v>147</v>
      </c>
      <c r="E153" s="10"/>
      <c r="F153" s="11">
        <v>43586</v>
      </c>
      <c r="G153" s="12">
        <v>43602</v>
      </c>
      <c r="H153" s="11">
        <v>43608</v>
      </c>
      <c r="I153" s="12">
        <v>43602</v>
      </c>
      <c r="J153" s="11">
        <v>43600</v>
      </c>
      <c r="K153" s="12">
        <v>43601</v>
      </c>
      <c r="L153" s="11">
        <v>43598</v>
      </c>
      <c r="M153" s="12">
        <v>43598</v>
      </c>
      <c r="N153" s="11">
        <v>43598</v>
      </c>
      <c r="O153" s="12">
        <v>43593</v>
      </c>
      <c r="P153" s="11">
        <v>43599</v>
      </c>
      <c r="Q153" s="12">
        <v>43599</v>
      </c>
      <c r="R153" s="11">
        <v>43591</v>
      </c>
      <c r="S153" s="12">
        <v>43602</v>
      </c>
      <c r="T153" s="11">
        <v>43609</v>
      </c>
      <c r="U153" s="12">
        <v>43594</v>
      </c>
      <c r="V153" s="11">
        <v>43598</v>
      </c>
      <c r="W153" s="12">
        <v>43603</v>
      </c>
      <c r="X153" s="11">
        <v>43594</v>
      </c>
      <c r="Y153" s="12">
        <v>43597</v>
      </c>
      <c r="Z153" s="11">
        <v>43602</v>
      </c>
      <c r="AA153" s="12">
        <v>43610</v>
      </c>
      <c r="AB153" s="11">
        <v>43609</v>
      </c>
      <c r="AC153" s="12">
        <v>43600</v>
      </c>
      <c r="AD153" s="34"/>
      <c r="AE153" s="33">
        <f t="shared" si="25"/>
        <v>43586</v>
      </c>
      <c r="AF153" s="33">
        <f t="shared" si="26"/>
        <v>43599.5</v>
      </c>
      <c r="AG153" s="33">
        <f t="shared" si="27"/>
        <v>43610</v>
      </c>
      <c r="AH153">
        <v>191</v>
      </c>
      <c r="AK153" s="36" t="str">
        <f t="shared" si="28"/>
        <v/>
      </c>
      <c r="AL153" t="str">
        <f t="shared" si="32"/>
        <v/>
      </c>
      <c r="AM153" t="s">
        <v>393</v>
      </c>
      <c r="AN153">
        <f t="shared" si="29"/>
        <v>24</v>
      </c>
      <c r="AO153" t="str">
        <f t="shared" si="30"/>
        <v>1.5.---14.5.---25.5.</v>
      </c>
      <c r="AP153" t="str">
        <f t="shared" si="31"/>
        <v>Rantakurvi</v>
      </c>
      <c r="AQ153" t="str">
        <f t="shared" si="33"/>
        <v>(1.5.---14.5.---25.5.)</v>
      </c>
    </row>
    <row r="154" spans="1:43" x14ac:dyDescent="0.2">
      <c r="A154" s="1"/>
      <c r="B154" s="9">
        <f t="shared" si="24"/>
        <v>149</v>
      </c>
      <c r="C154" s="10"/>
      <c r="D154" s="9" t="s">
        <v>148</v>
      </c>
      <c r="E154" s="10"/>
      <c r="F154" s="11">
        <v>43574</v>
      </c>
      <c r="G154" s="12">
        <v>43582</v>
      </c>
      <c r="H154" s="11">
        <v>43583</v>
      </c>
      <c r="I154" s="12">
        <v>43582</v>
      </c>
      <c r="J154" s="11">
        <v>43576</v>
      </c>
      <c r="K154" s="12">
        <v>43569</v>
      </c>
      <c r="L154" s="11">
        <v>43582</v>
      </c>
      <c r="M154" s="12">
        <v>43581</v>
      </c>
      <c r="N154" s="11">
        <v>43581</v>
      </c>
      <c r="O154" s="12">
        <v>43581</v>
      </c>
      <c r="P154" s="11">
        <v>43583</v>
      </c>
      <c r="Q154" s="12">
        <v>43584</v>
      </c>
      <c r="R154" s="11">
        <v>43581</v>
      </c>
      <c r="S154" s="12">
        <v>43580</v>
      </c>
      <c r="T154" s="11">
        <v>43577</v>
      </c>
      <c r="U154" s="12">
        <v>43584</v>
      </c>
      <c r="V154" s="11">
        <v>43579</v>
      </c>
      <c r="W154" s="12">
        <v>43588</v>
      </c>
      <c r="X154" s="11">
        <v>43583</v>
      </c>
      <c r="Y154" s="12">
        <v>43575</v>
      </c>
      <c r="Z154" s="11">
        <v>43580</v>
      </c>
      <c r="AA154" s="12">
        <v>43574</v>
      </c>
      <c r="AB154" s="11">
        <v>43591</v>
      </c>
      <c r="AC154" s="12">
        <v>43581</v>
      </c>
      <c r="AD154" s="34"/>
      <c r="AE154" s="33">
        <f t="shared" si="25"/>
        <v>43569</v>
      </c>
      <c r="AF154" s="33">
        <f t="shared" si="26"/>
        <v>43581</v>
      </c>
      <c r="AG154" s="33">
        <f t="shared" si="27"/>
        <v>43591</v>
      </c>
      <c r="AH154">
        <v>192</v>
      </c>
      <c r="AK154" s="36" t="str">
        <f t="shared" si="28"/>
        <v/>
      </c>
      <c r="AL154" t="str">
        <f t="shared" si="32"/>
        <v/>
      </c>
      <c r="AM154" t="s">
        <v>393</v>
      </c>
      <c r="AN154">
        <f t="shared" si="29"/>
        <v>22</v>
      </c>
      <c r="AO154" t="str">
        <f t="shared" si="30"/>
        <v>14.4.---26.4.---6.5.</v>
      </c>
      <c r="AP154" t="str">
        <f t="shared" si="31"/>
        <v>Rantasipi</v>
      </c>
      <c r="AQ154" t="str">
        <f t="shared" si="33"/>
        <v>(14.4.---26.4.---6.5.)</v>
      </c>
    </row>
    <row r="155" spans="1:43" x14ac:dyDescent="0.2">
      <c r="A155" s="1"/>
      <c r="B155" s="9">
        <f t="shared" si="24"/>
        <v>150</v>
      </c>
      <c r="C155" s="10"/>
      <c r="D155" s="15" t="s">
        <v>149</v>
      </c>
      <c r="E155" s="16"/>
      <c r="F155" s="11"/>
      <c r="G155" s="12"/>
      <c r="H155" s="11"/>
      <c r="I155" s="12"/>
      <c r="J155" s="11"/>
      <c r="K155" s="12"/>
      <c r="L155" s="11"/>
      <c r="M155" s="12"/>
      <c r="N155" s="11"/>
      <c r="O155" s="12"/>
      <c r="P155" s="11"/>
      <c r="Q155" s="12"/>
      <c r="R155" s="11"/>
      <c r="S155" s="12"/>
      <c r="T155" s="11"/>
      <c r="U155" s="12"/>
      <c r="V155" s="11"/>
      <c r="W155" s="12"/>
      <c r="X155" s="11"/>
      <c r="Y155" s="12"/>
      <c r="Z155" s="11"/>
      <c r="AA155" s="12"/>
      <c r="AB155" s="11"/>
      <c r="AC155" s="12" t="s">
        <v>393</v>
      </c>
      <c r="AD155" s="34"/>
      <c r="AE155" s="33" t="str">
        <f t="shared" si="25"/>
        <v/>
      </c>
      <c r="AF155" s="33" t="str">
        <f t="shared" si="26"/>
        <v/>
      </c>
      <c r="AG155" s="33" t="str">
        <f t="shared" si="27"/>
        <v/>
      </c>
      <c r="AH155">
        <v>193</v>
      </c>
      <c r="AK155" s="36" t="str">
        <f t="shared" si="28"/>
        <v/>
      </c>
      <c r="AL155" t="str">
        <f t="shared" si="32"/>
        <v/>
      </c>
      <c r="AM155" t="s">
        <v>393</v>
      </c>
      <c r="AN155" t="e">
        <f t="shared" si="29"/>
        <v>#VALUE!</v>
      </c>
      <c r="AO155" t="str">
        <f t="shared" si="30"/>
        <v>------</v>
      </c>
      <c r="AP155" t="str">
        <f t="shared" si="31"/>
        <v>Amerikansipi</v>
      </c>
      <c r="AQ155" t="str">
        <f t="shared" si="33"/>
        <v>(------)</v>
      </c>
    </row>
    <row r="156" spans="1:43" x14ac:dyDescent="0.2">
      <c r="A156" s="1"/>
      <c r="B156" s="9">
        <f t="shared" si="24"/>
        <v>151</v>
      </c>
      <c r="C156" s="10"/>
      <c r="D156" s="9" t="s">
        <v>150</v>
      </c>
      <c r="E156" s="10"/>
      <c r="F156" s="11">
        <v>43573</v>
      </c>
      <c r="G156" s="12">
        <v>43577</v>
      </c>
      <c r="H156" s="11">
        <v>43569</v>
      </c>
      <c r="I156" s="12">
        <v>43570</v>
      </c>
      <c r="J156" s="11">
        <v>43571</v>
      </c>
      <c r="K156" s="12">
        <v>43569</v>
      </c>
      <c r="L156" s="11">
        <v>43572</v>
      </c>
      <c r="M156" s="12">
        <v>43568</v>
      </c>
      <c r="N156" s="11">
        <v>43561</v>
      </c>
      <c r="O156" s="12">
        <v>43568</v>
      </c>
      <c r="P156" s="11">
        <v>43563</v>
      </c>
      <c r="Q156" s="12">
        <v>43560</v>
      </c>
      <c r="R156" s="11">
        <v>43569</v>
      </c>
      <c r="S156" s="12">
        <v>43572</v>
      </c>
      <c r="T156" s="11">
        <v>43566</v>
      </c>
      <c r="U156" s="12">
        <v>43560</v>
      </c>
      <c r="V156" s="11">
        <v>43564</v>
      </c>
      <c r="W156" s="12">
        <v>43559</v>
      </c>
      <c r="X156" s="11">
        <v>43573</v>
      </c>
      <c r="Y156" s="12">
        <v>43561</v>
      </c>
      <c r="Z156" s="11">
        <v>43562</v>
      </c>
      <c r="AA156" s="12">
        <v>43572</v>
      </c>
      <c r="AB156" s="11">
        <v>43573</v>
      </c>
      <c r="AC156" s="12">
        <v>43571</v>
      </c>
      <c r="AD156" s="34"/>
      <c r="AE156" s="33">
        <f t="shared" si="25"/>
        <v>43559</v>
      </c>
      <c r="AF156" s="33">
        <f t="shared" si="26"/>
        <v>43569</v>
      </c>
      <c r="AG156" s="33">
        <f t="shared" si="27"/>
        <v>43577</v>
      </c>
      <c r="AH156">
        <v>194</v>
      </c>
      <c r="AK156" s="36" t="str">
        <f t="shared" si="28"/>
        <v/>
      </c>
      <c r="AL156" t="str">
        <f t="shared" si="32"/>
        <v/>
      </c>
      <c r="AM156" t="s">
        <v>393</v>
      </c>
      <c r="AN156">
        <f t="shared" si="29"/>
        <v>18</v>
      </c>
      <c r="AO156" t="str">
        <f t="shared" si="30"/>
        <v>4.4.---14.4.---22.4.</v>
      </c>
      <c r="AP156" t="str">
        <f t="shared" si="31"/>
        <v>Metsäviklo</v>
      </c>
      <c r="AQ156" t="str">
        <f t="shared" si="33"/>
        <v>(4.4.---14.4.---22.4.)</v>
      </c>
    </row>
    <row r="157" spans="1:43" x14ac:dyDescent="0.2">
      <c r="A157" s="1"/>
      <c r="B157" s="9">
        <f t="shared" ref="B157:B188" si="34">B156+1</f>
        <v>152</v>
      </c>
      <c r="C157" s="10"/>
      <c r="D157" s="9" t="s">
        <v>151</v>
      </c>
      <c r="E157" s="10"/>
      <c r="F157" s="11">
        <v>43560</v>
      </c>
      <c r="G157" s="12">
        <v>43583</v>
      </c>
      <c r="H157" s="11">
        <v>43582</v>
      </c>
      <c r="I157" s="12">
        <v>43581</v>
      </c>
      <c r="J157" s="11">
        <v>43577</v>
      </c>
      <c r="K157" s="12">
        <v>43586</v>
      </c>
      <c r="L157" s="11">
        <v>43583</v>
      </c>
      <c r="M157" s="12">
        <v>43578</v>
      </c>
      <c r="N157" s="11">
        <v>43581</v>
      </c>
      <c r="O157" s="12">
        <v>43582</v>
      </c>
      <c r="P157" s="11">
        <v>43586</v>
      </c>
      <c r="Q157" s="12">
        <v>43580</v>
      </c>
      <c r="R157" s="11">
        <v>43583</v>
      </c>
      <c r="S157" s="12">
        <v>43583</v>
      </c>
      <c r="T157" s="11">
        <v>43581</v>
      </c>
      <c r="U157" s="12">
        <v>43577</v>
      </c>
      <c r="V157" s="11">
        <v>43582</v>
      </c>
      <c r="W157" s="12">
        <v>43587</v>
      </c>
      <c r="X157" s="11">
        <v>43577</v>
      </c>
      <c r="Y157" s="12">
        <v>43577</v>
      </c>
      <c r="Z157" s="11">
        <v>43579</v>
      </c>
      <c r="AA157" s="12">
        <v>43587</v>
      </c>
      <c r="AB157" s="11">
        <v>43587</v>
      </c>
      <c r="AC157" s="12">
        <v>43584</v>
      </c>
      <c r="AD157" s="34"/>
      <c r="AE157" s="33">
        <f t="shared" si="25"/>
        <v>43560</v>
      </c>
      <c r="AF157" s="33">
        <f t="shared" si="26"/>
        <v>43582</v>
      </c>
      <c r="AG157" s="33">
        <f t="shared" si="27"/>
        <v>43587</v>
      </c>
      <c r="AH157">
        <v>195</v>
      </c>
      <c r="AK157" s="36" t="str">
        <f t="shared" si="28"/>
        <v/>
      </c>
      <c r="AL157" t="str">
        <f t="shared" si="32"/>
        <v/>
      </c>
      <c r="AM157" t="s">
        <v>393</v>
      </c>
      <c r="AN157">
        <f t="shared" si="29"/>
        <v>27</v>
      </c>
      <c r="AO157" t="str">
        <f t="shared" si="30"/>
        <v>5.4.---27.4.---2.5.</v>
      </c>
      <c r="AP157" t="str">
        <f t="shared" si="31"/>
        <v>Mustaviklo</v>
      </c>
      <c r="AQ157" t="str">
        <f t="shared" si="33"/>
        <v>(5.4.---27.4.---2.5.)</v>
      </c>
    </row>
    <row r="158" spans="1:43" x14ac:dyDescent="0.2">
      <c r="A158" s="1"/>
      <c r="B158" s="9">
        <f t="shared" si="34"/>
        <v>153</v>
      </c>
      <c r="C158" s="10"/>
      <c r="D158" s="9" t="s">
        <v>152</v>
      </c>
      <c r="E158" s="10"/>
      <c r="F158" s="11">
        <v>43576</v>
      </c>
      <c r="G158" s="12">
        <v>43580</v>
      </c>
      <c r="H158" s="11">
        <v>43577</v>
      </c>
      <c r="I158" s="12">
        <v>43575</v>
      </c>
      <c r="J158" s="11">
        <v>43574</v>
      </c>
      <c r="K158" s="12">
        <v>43575</v>
      </c>
      <c r="L158" s="11">
        <v>43573</v>
      </c>
      <c r="M158" s="12">
        <v>43572</v>
      </c>
      <c r="N158" s="11">
        <v>43577</v>
      </c>
      <c r="O158" s="12">
        <v>43579</v>
      </c>
      <c r="P158" s="11">
        <v>43576</v>
      </c>
      <c r="Q158" s="12">
        <v>43577</v>
      </c>
      <c r="R158" s="11">
        <v>43577</v>
      </c>
      <c r="S158" s="12">
        <v>43576</v>
      </c>
      <c r="T158" s="11">
        <v>43573</v>
      </c>
      <c r="U158" s="12">
        <v>43573</v>
      </c>
      <c r="V158" s="11">
        <v>43567</v>
      </c>
      <c r="W158" s="12">
        <v>43576</v>
      </c>
      <c r="X158" s="11">
        <v>43578</v>
      </c>
      <c r="Y158" s="12">
        <v>43576</v>
      </c>
      <c r="Z158" s="11">
        <v>43573</v>
      </c>
      <c r="AA158" s="12">
        <v>43572</v>
      </c>
      <c r="AB158" s="11">
        <v>43579</v>
      </c>
      <c r="AC158" s="12">
        <v>43581</v>
      </c>
      <c r="AD158" s="34"/>
      <c r="AE158" s="33">
        <f t="shared" si="25"/>
        <v>43567</v>
      </c>
      <c r="AF158" s="33">
        <f t="shared" si="26"/>
        <v>43576</v>
      </c>
      <c r="AG158" s="33">
        <f t="shared" si="27"/>
        <v>43581</v>
      </c>
      <c r="AH158">
        <v>196</v>
      </c>
      <c r="AK158" s="36" t="str">
        <f t="shared" si="28"/>
        <v/>
      </c>
      <c r="AL158" t="str">
        <f t="shared" si="32"/>
        <v/>
      </c>
      <c r="AM158" t="s">
        <v>393</v>
      </c>
      <c r="AN158">
        <f t="shared" si="29"/>
        <v>14</v>
      </c>
      <c r="AO158" t="str">
        <f t="shared" si="30"/>
        <v>12.4.---21.4.---26.4.</v>
      </c>
      <c r="AP158" t="str">
        <f t="shared" si="31"/>
        <v>Valkoviklo</v>
      </c>
      <c r="AQ158" t="str">
        <f t="shared" si="33"/>
        <v>(12.4.---21.4.---26.4.)</v>
      </c>
    </row>
    <row r="159" spans="1:43" x14ac:dyDescent="0.2">
      <c r="A159" s="1"/>
      <c r="B159" s="9">
        <f t="shared" si="34"/>
        <v>154</v>
      </c>
      <c r="C159" s="10"/>
      <c r="D159" s="15" t="s">
        <v>153</v>
      </c>
      <c r="E159" s="16"/>
      <c r="F159" s="11"/>
      <c r="G159" s="12"/>
      <c r="H159" s="11"/>
      <c r="I159" s="12"/>
      <c r="J159" s="11"/>
      <c r="K159" s="12"/>
      <c r="L159" s="11"/>
      <c r="M159" s="12"/>
      <c r="N159" s="11"/>
      <c r="O159" s="12"/>
      <c r="P159" s="11"/>
      <c r="Q159" s="12"/>
      <c r="R159" s="11"/>
      <c r="S159" s="12"/>
      <c r="T159" s="11"/>
      <c r="U159" s="12"/>
      <c r="V159" s="11"/>
      <c r="W159" s="12"/>
      <c r="X159" s="11"/>
      <c r="Y159" s="12"/>
      <c r="Z159" s="11"/>
      <c r="AA159" s="12">
        <v>43611</v>
      </c>
      <c r="AB159" s="11"/>
      <c r="AC159" s="12" t="s">
        <v>393</v>
      </c>
      <c r="AD159" s="34"/>
      <c r="AE159" s="33">
        <f t="shared" si="25"/>
        <v>43611</v>
      </c>
      <c r="AF159" s="33">
        <f t="shared" si="26"/>
        <v>43611</v>
      </c>
      <c r="AG159" s="33">
        <f t="shared" si="27"/>
        <v>43611</v>
      </c>
      <c r="AH159">
        <v>197</v>
      </c>
      <c r="AK159" s="36" t="str">
        <f t="shared" si="28"/>
        <v/>
      </c>
      <c r="AL159" t="str">
        <f t="shared" si="32"/>
        <v/>
      </c>
      <c r="AM159" t="s">
        <v>393</v>
      </c>
      <c r="AN159">
        <f t="shared" si="29"/>
        <v>0</v>
      </c>
      <c r="AO159" t="str">
        <f t="shared" si="30"/>
        <v>26.5.---26.5.---26.5.</v>
      </c>
      <c r="AP159" t="str">
        <f t="shared" si="31"/>
        <v>Keltajalkaviklo</v>
      </c>
      <c r="AQ159" t="str">
        <f t="shared" si="33"/>
        <v>(26.5.---26.5.---26.5.)</v>
      </c>
    </row>
    <row r="160" spans="1:43" x14ac:dyDescent="0.2">
      <c r="A160" s="1"/>
      <c r="B160" s="9">
        <f t="shared" si="34"/>
        <v>155</v>
      </c>
      <c r="C160" s="10"/>
      <c r="D160" s="9" t="s">
        <v>154</v>
      </c>
      <c r="E160" s="10"/>
      <c r="F160" s="11"/>
      <c r="G160" s="12"/>
      <c r="H160" s="11"/>
      <c r="I160" s="12">
        <v>43589</v>
      </c>
      <c r="J160" s="11">
        <v>43632</v>
      </c>
      <c r="K160" s="12">
        <v>43608</v>
      </c>
      <c r="L160" s="11">
        <v>43584</v>
      </c>
      <c r="M160" s="12">
        <v>43597</v>
      </c>
      <c r="N160" s="11">
        <v>43587</v>
      </c>
      <c r="O160" s="12">
        <v>43582</v>
      </c>
      <c r="P160" s="11">
        <v>43587</v>
      </c>
      <c r="Q160" s="12">
        <v>43592</v>
      </c>
      <c r="R160" s="11">
        <v>43591</v>
      </c>
      <c r="S160" s="12">
        <v>43590</v>
      </c>
      <c r="T160" s="11">
        <v>43596</v>
      </c>
      <c r="U160" s="12">
        <v>43584</v>
      </c>
      <c r="V160" s="11">
        <v>43591</v>
      </c>
      <c r="W160" s="12">
        <v>43598</v>
      </c>
      <c r="X160" s="11">
        <v>43591</v>
      </c>
      <c r="Y160" s="12">
        <v>43598</v>
      </c>
      <c r="Z160" s="11">
        <v>43593</v>
      </c>
      <c r="AA160" s="12">
        <v>43587</v>
      </c>
      <c r="AB160" s="11">
        <v>43609</v>
      </c>
      <c r="AC160" s="12">
        <v>43583</v>
      </c>
      <c r="AD160" s="34"/>
      <c r="AE160" s="33">
        <f t="shared" si="25"/>
        <v>43582</v>
      </c>
      <c r="AF160" s="33">
        <f t="shared" si="26"/>
        <v>43591</v>
      </c>
      <c r="AG160" s="33">
        <f t="shared" si="27"/>
        <v>43632</v>
      </c>
      <c r="AH160">
        <v>199</v>
      </c>
      <c r="AK160" s="36" t="str">
        <f t="shared" si="28"/>
        <v/>
      </c>
      <c r="AL160" t="str">
        <f t="shared" si="32"/>
        <v/>
      </c>
      <c r="AM160" t="s">
        <v>393</v>
      </c>
      <c r="AN160">
        <f t="shared" si="29"/>
        <v>50</v>
      </c>
      <c r="AO160" t="str">
        <f t="shared" si="30"/>
        <v>27.4.---6.5.---16.6.</v>
      </c>
      <c r="AP160" t="str">
        <f t="shared" si="31"/>
        <v>Lampiviklo</v>
      </c>
      <c r="AQ160" t="str">
        <f t="shared" si="33"/>
        <v>(27.4.---6.5.---16.6.)</v>
      </c>
    </row>
    <row r="161" spans="1:43" x14ac:dyDescent="0.2">
      <c r="A161" s="1"/>
      <c r="B161" s="9">
        <f t="shared" si="34"/>
        <v>156</v>
      </c>
      <c r="C161" s="10"/>
      <c r="D161" s="9" t="s">
        <v>155</v>
      </c>
      <c r="E161" s="10"/>
      <c r="F161" s="11">
        <v>43582</v>
      </c>
      <c r="G161" s="12"/>
      <c r="H161" s="11">
        <v>43580</v>
      </c>
      <c r="I161" s="12">
        <v>43583</v>
      </c>
      <c r="J161" s="11">
        <v>43582</v>
      </c>
      <c r="K161" s="12">
        <v>43579</v>
      </c>
      <c r="L161" s="11">
        <v>43579</v>
      </c>
      <c r="M161" s="12">
        <v>43581</v>
      </c>
      <c r="N161" s="11">
        <v>43581</v>
      </c>
      <c r="O161" s="12">
        <v>43581</v>
      </c>
      <c r="P161" s="11">
        <v>43574</v>
      </c>
      <c r="Q161" s="12">
        <v>43572</v>
      </c>
      <c r="R161" s="11">
        <v>43578</v>
      </c>
      <c r="S161" s="12">
        <v>43577</v>
      </c>
      <c r="T161" s="11">
        <v>43573</v>
      </c>
      <c r="U161" s="12">
        <v>43577</v>
      </c>
      <c r="V161" s="11">
        <v>43583</v>
      </c>
      <c r="W161" s="12">
        <v>43585</v>
      </c>
      <c r="X161" s="11">
        <v>43582</v>
      </c>
      <c r="Y161" s="12">
        <v>43579</v>
      </c>
      <c r="Z161" s="11">
        <v>43577</v>
      </c>
      <c r="AA161" s="12">
        <v>43573</v>
      </c>
      <c r="AB161" s="11">
        <v>43573</v>
      </c>
      <c r="AC161" s="12">
        <v>43578</v>
      </c>
      <c r="AD161" s="34"/>
      <c r="AE161" s="33">
        <f t="shared" si="25"/>
        <v>43572</v>
      </c>
      <c r="AF161" s="33">
        <f t="shared" si="26"/>
        <v>43579</v>
      </c>
      <c r="AG161" s="33">
        <f t="shared" si="27"/>
        <v>43585</v>
      </c>
      <c r="AH161">
        <v>200</v>
      </c>
      <c r="AK161" s="36" t="str">
        <f t="shared" si="28"/>
        <v/>
      </c>
      <c r="AL161" t="str">
        <f t="shared" si="32"/>
        <v/>
      </c>
      <c r="AM161" t="s">
        <v>393</v>
      </c>
      <c r="AN161">
        <f t="shared" si="29"/>
        <v>13</v>
      </c>
      <c r="AO161" t="str">
        <f t="shared" si="30"/>
        <v>17.4.---24.4.---30.4.</v>
      </c>
      <c r="AP161" t="str">
        <f t="shared" si="31"/>
        <v>Liro</v>
      </c>
      <c r="AQ161" t="str">
        <f t="shared" si="33"/>
        <v>(17.4.---24.4.---30.4.)</v>
      </c>
    </row>
    <row r="162" spans="1:43" x14ac:dyDescent="0.2">
      <c r="A162" s="1"/>
      <c r="B162" s="9">
        <f t="shared" si="34"/>
        <v>157</v>
      </c>
      <c r="C162" s="10"/>
      <c r="D162" s="9" t="s">
        <v>156</v>
      </c>
      <c r="E162" s="10"/>
      <c r="F162" s="11">
        <v>43573</v>
      </c>
      <c r="G162" s="12">
        <v>43576</v>
      </c>
      <c r="H162" s="11">
        <v>43575</v>
      </c>
      <c r="I162" s="12">
        <v>43576</v>
      </c>
      <c r="J162" s="11">
        <v>43572</v>
      </c>
      <c r="K162" s="12">
        <v>43560</v>
      </c>
      <c r="L162" s="11">
        <v>43575</v>
      </c>
      <c r="M162" s="12">
        <v>43571</v>
      </c>
      <c r="N162" s="11">
        <v>43575</v>
      </c>
      <c r="O162" s="12">
        <v>43576</v>
      </c>
      <c r="P162" s="11">
        <v>43568</v>
      </c>
      <c r="Q162" s="12">
        <v>43574</v>
      </c>
      <c r="R162" s="11">
        <v>43574</v>
      </c>
      <c r="S162" s="12">
        <v>43575</v>
      </c>
      <c r="T162" s="11">
        <v>43568</v>
      </c>
      <c r="U162" s="12">
        <v>43574</v>
      </c>
      <c r="V162" s="11">
        <v>43571</v>
      </c>
      <c r="W162" s="12">
        <v>43567</v>
      </c>
      <c r="X162" s="11">
        <v>43576</v>
      </c>
      <c r="Y162" s="12">
        <v>43561</v>
      </c>
      <c r="Z162" s="11">
        <v>43574</v>
      </c>
      <c r="AA162" s="12">
        <v>43576</v>
      </c>
      <c r="AB162" s="11">
        <v>43573</v>
      </c>
      <c r="AC162" s="12">
        <v>43567</v>
      </c>
      <c r="AD162" s="34"/>
      <c r="AE162" s="33">
        <f t="shared" si="25"/>
        <v>43560</v>
      </c>
      <c r="AF162" s="33">
        <f t="shared" si="26"/>
        <v>43574</v>
      </c>
      <c r="AG162" s="33">
        <f t="shared" si="27"/>
        <v>43576</v>
      </c>
      <c r="AH162">
        <v>201</v>
      </c>
      <c r="AK162" s="36" t="str">
        <f t="shared" si="28"/>
        <v/>
      </c>
      <c r="AL162" t="str">
        <f t="shared" si="32"/>
        <v/>
      </c>
      <c r="AM162" t="s">
        <v>393</v>
      </c>
      <c r="AN162">
        <f t="shared" si="29"/>
        <v>16</v>
      </c>
      <c r="AO162" t="str">
        <f t="shared" si="30"/>
        <v>5.4.---19.4.---21.4.</v>
      </c>
      <c r="AP162" t="str">
        <f t="shared" si="31"/>
        <v>Punajalkaviklo</v>
      </c>
      <c r="AQ162" t="str">
        <f t="shared" si="33"/>
        <v>(5.4.---19.4.---21.4.)</v>
      </c>
    </row>
    <row r="163" spans="1:43" x14ac:dyDescent="0.2">
      <c r="A163" s="1"/>
      <c r="B163" s="9">
        <f t="shared" si="34"/>
        <v>158</v>
      </c>
      <c r="C163" s="10"/>
      <c r="D163" s="9" t="s">
        <v>157</v>
      </c>
      <c r="E163" s="10"/>
      <c r="F163" s="11">
        <v>43579</v>
      </c>
      <c r="G163" s="12">
        <v>43580</v>
      </c>
      <c r="H163" s="11">
        <v>43575</v>
      </c>
      <c r="I163" s="12">
        <v>43587</v>
      </c>
      <c r="J163" s="11">
        <v>43587</v>
      </c>
      <c r="K163" s="12">
        <v>43575</v>
      </c>
      <c r="L163" s="11">
        <v>43582</v>
      </c>
      <c r="M163" s="12">
        <v>43583</v>
      </c>
      <c r="N163" s="11">
        <v>43585</v>
      </c>
      <c r="O163" s="12">
        <v>43587</v>
      </c>
      <c r="P163" s="11">
        <v>43577</v>
      </c>
      <c r="Q163" s="12">
        <v>43584</v>
      </c>
      <c r="R163" s="11">
        <v>43583</v>
      </c>
      <c r="S163" s="12">
        <v>43584</v>
      </c>
      <c r="T163" s="11">
        <v>43576</v>
      </c>
      <c r="U163" s="12">
        <v>43566</v>
      </c>
      <c r="V163" s="11">
        <v>43583</v>
      </c>
      <c r="W163" s="12">
        <v>43590</v>
      </c>
      <c r="X163" s="11">
        <v>43591</v>
      </c>
      <c r="Y163" s="12">
        <v>43580</v>
      </c>
      <c r="Z163" s="11">
        <v>43575</v>
      </c>
      <c r="AA163" s="12">
        <v>43583</v>
      </c>
      <c r="AB163" s="11">
        <v>43596</v>
      </c>
      <c r="AC163" s="12">
        <v>43592</v>
      </c>
      <c r="AD163" s="34"/>
      <c r="AE163" s="33">
        <f t="shared" si="25"/>
        <v>43566</v>
      </c>
      <c r="AF163" s="33">
        <f t="shared" si="26"/>
        <v>43583</v>
      </c>
      <c r="AG163" s="33">
        <f t="shared" si="27"/>
        <v>43596</v>
      </c>
      <c r="AH163">
        <v>202</v>
      </c>
      <c r="AK163" s="36" t="str">
        <f t="shared" si="28"/>
        <v/>
      </c>
      <c r="AL163" t="str">
        <f t="shared" si="32"/>
        <v/>
      </c>
      <c r="AM163" t="s">
        <v>393</v>
      </c>
      <c r="AN163">
        <f t="shared" si="29"/>
        <v>30</v>
      </c>
      <c r="AO163" t="str">
        <f t="shared" si="30"/>
        <v>11.4.---28.4.---11.5.</v>
      </c>
      <c r="AP163" t="str">
        <f t="shared" si="31"/>
        <v>Jänkäkurppa</v>
      </c>
      <c r="AQ163" t="str">
        <f t="shared" si="33"/>
        <v>(11.4.---28.4.---11.5.)</v>
      </c>
    </row>
    <row r="164" spans="1:43" x14ac:dyDescent="0.2">
      <c r="A164" s="1"/>
      <c r="B164" s="9">
        <f t="shared" si="34"/>
        <v>159</v>
      </c>
      <c r="C164" s="10"/>
      <c r="D164" s="15" t="s">
        <v>158</v>
      </c>
      <c r="E164" s="16"/>
      <c r="F164" s="11"/>
      <c r="G164" s="12"/>
      <c r="H164" s="11"/>
      <c r="I164" s="12"/>
      <c r="J164" s="11"/>
      <c r="K164" s="12"/>
      <c r="L164" s="11"/>
      <c r="M164" s="12"/>
      <c r="N164" s="11"/>
      <c r="O164" s="12"/>
      <c r="P164" s="11"/>
      <c r="Q164" s="12"/>
      <c r="R164" s="11"/>
      <c r="S164" s="12">
        <v>43598</v>
      </c>
      <c r="T164" s="11"/>
      <c r="U164" s="12"/>
      <c r="V164" s="11"/>
      <c r="W164" s="12"/>
      <c r="X164" s="11"/>
      <c r="Y164" s="12"/>
      <c r="Z164" s="11">
        <v>43733</v>
      </c>
      <c r="AA164" s="12"/>
      <c r="AB164" s="11"/>
      <c r="AC164" s="12" t="s">
        <v>393</v>
      </c>
      <c r="AD164" s="34"/>
      <c r="AE164" s="33">
        <f t="shared" si="25"/>
        <v>43598</v>
      </c>
      <c r="AF164" s="33">
        <f t="shared" si="26"/>
        <v>43665.5</v>
      </c>
      <c r="AG164" s="33">
        <f t="shared" si="27"/>
        <v>43733</v>
      </c>
      <c r="AH164">
        <v>203</v>
      </c>
      <c r="AK164" s="36" t="str">
        <f t="shared" si="28"/>
        <v/>
      </c>
      <c r="AL164" t="str">
        <f t="shared" si="32"/>
        <v/>
      </c>
      <c r="AM164" t="s">
        <v>393</v>
      </c>
      <c r="AN164">
        <f t="shared" si="29"/>
        <v>135</v>
      </c>
      <c r="AO164" t="str">
        <f t="shared" si="30"/>
        <v>13.5.---19.7.---25.9.</v>
      </c>
      <c r="AP164" t="str">
        <f t="shared" si="31"/>
        <v>Tundrakurppelo</v>
      </c>
      <c r="AQ164" t="str">
        <f t="shared" si="33"/>
        <v>(13.5.---19.7.---25.9.)</v>
      </c>
    </row>
    <row r="165" spans="1:43" x14ac:dyDescent="0.2">
      <c r="A165" s="1"/>
      <c r="B165" s="9">
        <f t="shared" si="34"/>
        <v>160</v>
      </c>
      <c r="C165" s="10"/>
      <c r="D165" s="9" t="s">
        <v>159</v>
      </c>
      <c r="E165" s="10"/>
      <c r="F165" s="11">
        <v>43573</v>
      </c>
      <c r="G165" s="12">
        <v>43557</v>
      </c>
      <c r="H165" s="11">
        <v>43550</v>
      </c>
      <c r="I165" s="12">
        <v>43569</v>
      </c>
      <c r="J165" s="11">
        <v>43568</v>
      </c>
      <c r="K165" s="12">
        <v>43556</v>
      </c>
      <c r="L165" s="11">
        <v>43564</v>
      </c>
      <c r="M165" s="12">
        <v>43555</v>
      </c>
      <c r="N165" s="11">
        <v>43558</v>
      </c>
      <c r="O165" s="12">
        <v>43565</v>
      </c>
      <c r="P165" s="11">
        <v>43561</v>
      </c>
      <c r="Q165" s="12">
        <v>43559</v>
      </c>
      <c r="R165" s="11">
        <v>43564</v>
      </c>
      <c r="S165" s="12">
        <v>43572</v>
      </c>
      <c r="T165" s="11">
        <f>IF(AG1,DATE(2019,1,15),DATE(2019,3,30))</f>
        <v>43554</v>
      </c>
      <c r="U165" s="12">
        <v>43553</v>
      </c>
      <c r="V165" s="11">
        <v>43553</v>
      </c>
      <c r="W165" s="12">
        <v>43566</v>
      </c>
      <c r="X165" s="11">
        <v>43572</v>
      </c>
      <c r="Y165" s="12">
        <v>43564</v>
      </c>
      <c r="Z165" s="11">
        <v>43552</v>
      </c>
      <c r="AA165" s="12">
        <f>IF(AG1,DATE(2019,1,4),DATE(2019,3,26))</f>
        <v>43550</v>
      </c>
      <c r="AB165" s="11">
        <v>43567</v>
      </c>
      <c r="AC165" s="12">
        <f>IF(AG1,DATE(2019,1,19),DATE(2019,4,12))</f>
        <v>43567</v>
      </c>
      <c r="AD165" s="34"/>
      <c r="AE165" s="33">
        <f t="shared" si="25"/>
        <v>43550</v>
      </c>
      <c r="AF165" s="33">
        <f t="shared" si="26"/>
        <v>43562.5</v>
      </c>
      <c r="AG165" s="33">
        <f t="shared" si="27"/>
        <v>43573</v>
      </c>
      <c r="AH165">
        <v>204</v>
      </c>
      <c r="AK165" s="36" t="str">
        <f t="shared" si="28"/>
        <v/>
      </c>
      <c r="AL165" t="str">
        <f t="shared" si="32"/>
        <v/>
      </c>
      <c r="AM165">
        <v>1</v>
      </c>
      <c r="AN165">
        <f t="shared" si="29"/>
        <v>23</v>
      </c>
      <c r="AO165" t="str">
        <f t="shared" si="30"/>
        <v>26.3.---7.4.---18.4.</v>
      </c>
      <c r="AP165" t="str">
        <f t="shared" si="31"/>
        <v>Lehtokurppa</v>
      </c>
      <c r="AQ165" t="str">
        <f t="shared" si="33"/>
        <v>(26.3.---7.4.---18.4., 1/21)</v>
      </c>
    </row>
    <row r="166" spans="1:43" x14ac:dyDescent="0.2">
      <c r="A166" s="1"/>
      <c r="B166" s="9">
        <f t="shared" si="34"/>
        <v>161</v>
      </c>
      <c r="C166" s="10"/>
      <c r="D166" s="9" t="s">
        <v>160</v>
      </c>
      <c r="E166" s="10"/>
      <c r="F166" s="11">
        <v>43571</v>
      </c>
      <c r="G166" s="12">
        <v>43563</v>
      </c>
      <c r="H166" s="11">
        <v>43561</v>
      </c>
      <c r="I166" s="12">
        <v>43570</v>
      </c>
      <c r="J166" s="11">
        <v>43559</v>
      </c>
      <c r="K166" s="12">
        <v>43561</v>
      </c>
      <c r="L166" s="11">
        <v>43562</v>
      </c>
      <c r="M166" s="12">
        <v>43561</v>
      </c>
      <c r="N166" s="11">
        <v>43561</v>
      </c>
      <c r="O166" s="12">
        <v>43567</v>
      </c>
      <c r="P166" s="11">
        <v>43566</v>
      </c>
      <c r="Q166" s="12">
        <v>43567</v>
      </c>
      <c r="R166" s="11">
        <v>43569</v>
      </c>
      <c r="S166" s="12">
        <v>43557</v>
      </c>
      <c r="T166" s="11">
        <v>43564</v>
      </c>
      <c r="U166" s="12">
        <v>43560</v>
      </c>
      <c r="V166" s="11">
        <v>43551</v>
      </c>
      <c r="W166" s="12">
        <v>43559</v>
      </c>
      <c r="X166" s="11">
        <v>43570</v>
      </c>
      <c r="Y166" s="12">
        <v>43560</v>
      </c>
      <c r="Z166" s="11">
        <v>43562</v>
      </c>
      <c r="AA166" s="12">
        <v>43568</v>
      </c>
      <c r="AB166" s="11">
        <v>43569</v>
      </c>
      <c r="AC166" s="12">
        <v>43574</v>
      </c>
      <c r="AD166" s="34"/>
      <c r="AE166" s="33">
        <f t="shared" si="25"/>
        <v>43551</v>
      </c>
      <c r="AF166" s="33">
        <f t="shared" si="26"/>
        <v>43562.5</v>
      </c>
      <c r="AG166" s="33">
        <f t="shared" si="27"/>
        <v>43574</v>
      </c>
      <c r="AH166">
        <v>205</v>
      </c>
      <c r="AK166" s="36" t="str">
        <f t="shared" si="28"/>
        <v/>
      </c>
      <c r="AL166" t="str">
        <f t="shared" si="32"/>
        <v/>
      </c>
      <c r="AM166" t="s">
        <v>393</v>
      </c>
      <c r="AN166">
        <f t="shared" si="29"/>
        <v>23</v>
      </c>
      <c r="AO166" t="str">
        <f t="shared" si="30"/>
        <v>27.3.---7.4.---19.4.</v>
      </c>
      <c r="AP166" t="str">
        <f t="shared" si="31"/>
        <v>Taivaanvuohi</v>
      </c>
      <c r="AQ166" t="str">
        <f t="shared" si="33"/>
        <v>(27.3.---7.4.---19.4.)</v>
      </c>
    </row>
    <row r="167" spans="1:43" x14ac:dyDescent="0.2">
      <c r="A167" s="1"/>
      <c r="B167" s="9">
        <f t="shared" si="34"/>
        <v>162</v>
      </c>
      <c r="C167" s="10"/>
      <c r="D167" s="9" t="s">
        <v>161</v>
      </c>
      <c r="E167" s="10"/>
      <c r="F167" s="11"/>
      <c r="G167" s="12"/>
      <c r="H167" s="11"/>
      <c r="I167" s="12">
        <v>43721</v>
      </c>
      <c r="J167" s="11">
        <v>43716</v>
      </c>
      <c r="K167" s="12"/>
      <c r="L167" s="11">
        <v>43582</v>
      </c>
      <c r="M167" s="12"/>
      <c r="N167" s="11">
        <v>43728</v>
      </c>
      <c r="O167" s="12">
        <v>43609</v>
      </c>
      <c r="P167" s="11">
        <v>43666</v>
      </c>
      <c r="Q167" s="12">
        <v>43715</v>
      </c>
      <c r="R167" s="11">
        <v>43715</v>
      </c>
      <c r="S167" s="12">
        <v>43722</v>
      </c>
      <c r="T167" s="11">
        <v>43720</v>
      </c>
      <c r="U167" s="12">
        <v>43701</v>
      </c>
      <c r="V167" s="11">
        <v>43633</v>
      </c>
      <c r="W167" s="12">
        <v>43723</v>
      </c>
      <c r="X167" s="11"/>
      <c r="Y167" s="12">
        <v>43741</v>
      </c>
      <c r="Z167" s="11">
        <v>43719</v>
      </c>
      <c r="AA167" s="12">
        <v>43739</v>
      </c>
      <c r="AB167" s="11">
        <v>43712</v>
      </c>
      <c r="AC167" s="12">
        <v>43730</v>
      </c>
      <c r="AD167" s="34"/>
      <c r="AE167" s="33">
        <f t="shared" si="25"/>
        <v>43582</v>
      </c>
      <c r="AF167" s="33">
        <f t="shared" si="26"/>
        <v>43717.5</v>
      </c>
      <c r="AG167" s="33">
        <f t="shared" si="27"/>
        <v>43741</v>
      </c>
      <c r="AH167">
        <v>207</v>
      </c>
      <c r="AK167" s="36" t="str">
        <f t="shared" si="28"/>
        <v/>
      </c>
      <c r="AL167" t="str">
        <f t="shared" si="32"/>
        <v/>
      </c>
      <c r="AM167" t="s">
        <v>393</v>
      </c>
      <c r="AN167">
        <f t="shared" si="29"/>
        <v>159</v>
      </c>
      <c r="AO167" t="str">
        <f t="shared" si="30"/>
        <v>27.4.---9.9.---3.10.</v>
      </c>
      <c r="AP167" t="str">
        <f t="shared" si="31"/>
        <v>Heinäkurppa</v>
      </c>
      <c r="AQ167" t="str">
        <f t="shared" si="33"/>
        <v>(27.4.---9.9.---3.10.)</v>
      </c>
    </row>
    <row r="168" spans="1:43" x14ac:dyDescent="0.2">
      <c r="A168" s="1"/>
      <c r="B168" s="9">
        <f t="shared" si="34"/>
        <v>163</v>
      </c>
      <c r="C168" s="10"/>
      <c r="D168" s="15" t="s">
        <v>387</v>
      </c>
      <c r="E168" s="16"/>
      <c r="F168" s="11"/>
      <c r="G168" s="12"/>
      <c r="H168" s="11"/>
      <c r="I168" s="12"/>
      <c r="J168" s="11"/>
      <c r="K168" s="12"/>
      <c r="L168" s="11"/>
      <c r="M168" s="12"/>
      <c r="N168" s="11"/>
      <c r="O168" s="12"/>
      <c r="P168" s="11"/>
      <c r="Q168" s="12"/>
      <c r="R168" s="11"/>
      <c r="S168" s="12"/>
      <c r="T168" s="11"/>
      <c r="U168" s="12"/>
      <c r="V168" s="11"/>
      <c r="W168" s="12"/>
      <c r="X168" s="11"/>
      <c r="Y168" s="12"/>
      <c r="Z168" s="11"/>
      <c r="AA168" s="12">
        <v>43632</v>
      </c>
      <c r="AB168" s="11"/>
      <c r="AC168" s="12" t="s">
        <v>393</v>
      </c>
      <c r="AD168" s="34"/>
      <c r="AE168" s="33">
        <f t="shared" si="25"/>
        <v>43632</v>
      </c>
      <c r="AF168" s="33">
        <f t="shared" si="26"/>
        <v>43632</v>
      </c>
      <c r="AG168" s="33">
        <f t="shared" si="27"/>
        <v>43632</v>
      </c>
      <c r="AH168">
        <v>209</v>
      </c>
      <c r="AK168" s="36" t="str">
        <f t="shared" si="28"/>
        <v/>
      </c>
      <c r="AL168" t="str">
        <f t="shared" si="32"/>
        <v/>
      </c>
      <c r="AM168" t="s">
        <v>393</v>
      </c>
      <c r="AN168">
        <f t="shared" si="29"/>
        <v>0</v>
      </c>
      <c r="AO168" t="str">
        <f t="shared" si="30"/>
        <v>16.6.---16.6.---16.6.</v>
      </c>
      <c r="AP168" t="str">
        <f t="shared" si="31"/>
        <v>Pääskykahlaaja</v>
      </c>
      <c r="AQ168" t="str">
        <f t="shared" si="33"/>
        <v>(16.6.---16.6.---16.6.)</v>
      </c>
    </row>
    <row r="169" spans="1:43" x14ac:dyDescent="0.2">
      <c r="A169" s="1"/>
      <c r="B169" s="9">
        <f t="shared" si="34"/>
        <v>164</v>
      </c>
      <c r="C169" s="10"/>
      <c r="D169" s="15" t="s">
        <v>162</v>
      </c>
      <c r="E169" s="16"/>
      <c r="F169" s="11"/>
      <c r="G169" s="12"/>
      <c r="H169" s="11"/>
      <c r="I169" s="12"/>
      <c r="J169" s="11"/>
      <c r="K169" s="12"/>
      <c r="L169" s="11"/>
      <c r="M169" s="12"/>
      <c r="N169" s="11"/>
      <c r="O169" s="12"/>
      <c r="P169" s="11"/>
      <c r="Q169" s="12"/>
      <c r="R169" s="11"/>
      <c r="S169" s="12"/>
      <c r="T169" s="11"/>
      <c r="U169" s="12"/>
      <c r="V169" s="11"/>
      <c r="W169" s="12"/>
      <c r="X169" s="11"/>
      <c r="Y169" s="12"/>
      <c r="Z169" s="11"/>
      <c r="AA169" s="12"/>
      <c r="AB169" s="11"/>
      <c r="AC169" s="12" t="s">
        <v>393</v>
      </c>
      <c r="AD169" s="34"/>
      <c r="AE169" s="33" t="str">
        <f t="shared" si="25"/>
        <v/>
      </c>
      <c r="AF169" s="33" t="str">
        <f t="shared" si="26"/>
        <v/>
      </c>
      <c r="AG169" s="33" t="str">
        <f t="shared" si="27"/>
        <v/>
      </c>
      <c r="AH169">
        <v>211</v>
      </c>
      <c r="AK169" s="36" t="str">
        <f t="shared" si="28"/>
        <v/>
      </c>
      <c r="AL169" t="str">
        <f t="shared" si="32"/>
        <v/>
      </c>
      <c r="AM169" t="s">
        <v>393</v>
      </c>
      <c r="AN169" t="e">
        <f t="shared" si="29"/>
        <v>#VALUE!</v>
      </c>
      <c r="AO169" t="str">
        <f t="shared" si="30"/>
        <v>------</v>
      </c>
      <c r="AP169" t="str">
        <f t="shared" si="31"/>
        <v>Aropääskykahlaaja</v>
      </c>
      <c r="AQ169" t="str">
        <f t="shared" si="33"/>
        <v>(------)</v>
      </c>
    </row>
    <row r="170" spans="1:43" x14ac:dyDescent="0.2">
      <c r="A170" s="1"/>
      <c r="B170" s="9">
        <f t="shared" si="34"/>
        <v>165</v>
      </c>
      <c r="C170" s="10"/>
      <c r="D170" s="9" t="s">
        <v>163</v>
      </c>
      <c r="E170" s="10"/>
      <c r="F170" s="11"/>
      <c r="G170" s="12"/>
      <c r="H170" s="11"/>
      <c r="I170" s="12"/>
      <c r="J170" s="11">
        <v>43604</v>
      </c>
      <c r="K170" s="12">
        <v>43774</v>
      </c>
      <c r="L170" s="11"/>
      <c r="M170" s="12">
        <v>43625</v>
      </c>
      <c r="N170" s="11">
        <v>43596</v>
      </c>
      <c r="O170" s="12">
        <v>43611</v>
      </c>
      <c r="P170" s="11">
        <v>43607</v>
      </c>
      <c r="Q170" s="12">
        <v>43602</v>
      </c>
      <c r="R170" s="11">
        <v>43604</v>
      </c>
      <c r="S170" s="12">
        <v>43740</v>
      </c>
      <c r="T170" s="11">
        <v>43610</v>
      </c>
      <c r="U170" s="12">
        <v>43600</v>
      </c>
      <c r="V170" s="11">
        <v>43603</v>
      </c>
      <c r="W170" s="12">
        <v>43592</v>
      </c>
      <c r="X170" s="11">
        <v>43742</v>
      </c>
      <c r="Y170" s="12">
        <v>43760</v>
      </c>
      <c r="Z170" s="11"/>
      <c r="AA170" s="12">
        <v>43608</v>
      </c>
      <c r="AB170" s="11">
        <v>43648</v>
      </c>
      <c r="AC170" s="12">
        <v>43603</v>
      </c>
      <c r="AD170" s="34"/>
      <c r="AE170" s="33">
        <f t="shared" si="25"/>
        <v>43592</v>
      </c>
      <c r="AF170" s="33">
        <f t="shared" si="26"/>
        <v>43607.5</v>
      </c>
      <c r="AG170" s="33">
        <f t="shared" si="27"/>
        <v>43774</v>
      </c>
      <c r="AH170">
        <v>213</v>
      </c>
      <c r="AK170" s="36" t="str">
        <f t="shared" si="28"/>
        <v/>
      </c>
      <c r="AL170" t="str">
        <f t="shared" si="32"/>
        <v/>
      </c>
      <c r="AM170" t="s">
        <v>393</v>
      </c>
      <c r="AN170">
        <f t="shared" si="29"/>
        <v>182</v>
      </c>
      <c r="AO170" t="str">
        <f t="shared" si="30"/>
        <v>7.5.---22.5.---5.11.</v>
      </c>
      <c r="AP170" t="str">
        <f t="shared" si="31"/>
        <v>Leveäpyrstökihu</v>
      </c>
      <c r="AQ170" t="str">
        <f t="shared" si="33"/>
        <v>(7.5.---22.5.---5.11.)</v>
      </c>
    </row>
    <row r="171" spans="1:43" x14ac:dyDescent="0.2">
      <c r="A171" s="1"/>
      <c r="B171" s="9">
        <f t="shared" si="34"/>
        <v>166</v>
      </c>
      <c r="C171" s="10"/>
      <c r="D171" s="9" t="s">
        <v>164</v>
      </c>
      <c r="E171" s="10"/>
      <c r="F171" s="11">
        <v>43591</v>
      </c>
      <c r="G171" s="12">
        <v>43593</v>
      </c>
      <c r="H171" s="11">
        <v>43584</v>
      </c>
      <c r="I171" s="12">
        <v>43588</v>
      </c>
      <c r="J171" s="11">
        <v>43585</v>
      </c>
      <c r="K171" s="12">
        <v>43580</v>
      </c>
      <c r="L171" s="11">
        <v>43581</v>
      </c>
      <c r="M171" s="12">
        <v>43584</v>
      </c>
      <c r="N171" s="11">
        <v>43575</v>
      </c>
      <c r="O171" s="12">
        <v>43587</v>
      </c>
      <c r="P171" s="11">
        <v>43592</v>
      </c>
      <c r="Q171" s="12">
        <v>43588</v>
      </c>
      <c r="R171" s="11">
        <v>43583</v>
      </c>
      <c r="S171" s="12">
        <v>43591</v>
      </c>
      <c r="T171" s="11">
        <v>43581</v>
      </c>
      <c r="U171" s="12">
        <v>43583</v>
      </c>
      <c r="V171" s="11">
        <v>43578</v>
      </c>
      <c r="W171" s="12">
        <v>43588</v>
      </c>
      <c r="X171" s="11">
        <v>43589</v>
      </c>
      <c r="Y171" s="12">
        <v>43583</v>
      </c>
      <c r="Z171" s="11">
        <v>43580</v>
      </c>
      <c r="AA171" s="12">
        <v>43587</v>
      </c>
      <c r="AB171" s="11">
        <v>43590</v>
      </c>
      <c r="AC171" s="12">
        <v>43591</v>
      </c>
      <c r="AD171" s="34"/>
      <c r="AE171" s="33">
        <f t="shared" si="25"/>
        <v>43575</v>
      </c>
      <c r="AF171" s="33">
        <f t="shared" si="26"/>
        <v>43586</v>
      </c>
      <c r="AG171" s="33">
        <f t="shared" si="27"/>
        <v>43593</v>
      </c>
      <c r="AH171">
        <v>214</v>
      </c>
      <c r="AK171" s="36" t="str">
        <f t="shared" si="28"/>
        <v/>
      </c>
      <c r="AL171" t="str">
        <f t="shared" si="32"/>
        <v/>
      </c>
      <c r="AM171" t="s">
        <v>393</v>
      </c>
      <c r="AN171">
        <f t="shared" si="29"/>
        <v>18</v>
      </c>
      <c r="AO171" t="str">
        <f t="shared" si="30"/>
        <v>20.4.---1.5.---8.5.</v>
      </c>
      <c r="AP171" t="str">
        <f t="shared" si="31"/>
        <v>Merikihu</v>
      </c>
      <c r="AQ171" t="str">
        <f t="shared" si="33"/>
        <v>(20.4.---1.5.---8.5.)</v>
      </c>
    </row>
    <row r="172" spans="1:43" x14ac:dyDescent="0.2">
      <c r="A172" s="1"/>
      <c r="B172" s="9">
        <f t="shared" si="34"/>
        <v>167</v>
      </c>
      <c r="C172" s="10"/>
      <c r="D172" s="9" t="s">
        <v>165</v>
      </c>
      <c r="E172" s="10"/>
      <c r="F172" s="11">
        <v>43603</v>
      </c>
      <c r="G172" s="12">
        <v>43605</v>
      </c>
      <c r="H172" s="11">
        <v>43603</v>
      </c>
      <c r="I172" s="12">
        <v>43603</v>
      </c>
      <c r="J172" s="11">
        <v>43602</v>
      </c>
      <c r="K172" s="12">
        <v>43608</v>
      </c>
      <c r="L172" s="11">
        <v>43602</v>
      </c>
      <c r="M172" s="12">
        <v>43600</v>
      </c>
      <c r="N172" s="11">
        <v>43597</v>
      </c>
      <c r="O172" s="12">
        <v>43596</v>
      </c>
      <c r="P172" s="11">
        <v>43603</v>
      </c>
      <c r="Q172" s="12">
        <v>43603</v>
      </c>
      <c r="R172" s="11">
        <v>43598</v>
      </c>
      <c r="S172" s="12">
        <v>43606</v>
      </c>
      <c r="T172" s="11">
        <v>43601</v>
      </c>
      <c r="U172" s="12">
        <v>43599</v>
      </c>
      <c r="V172" s="11">
        <v>43601</v>
      </c>
      <c r="W172" s="12">
        <v>43603</v>
      </c>
      <c r="X172" s="11">
        <v>43604</v>
      </c>
      <c r="Y172" s="12">
        <v>43602</v>
      </c>
      <c r="Z172" s="11">
        <v>43602</v>
      </c>
      <c r="AA172" s="12">
        <v>43605</v>
      </c>
      <c r="AB172" s="11">
        <v>43604</v>
      </c>
      <c r="AC172" s="12">
        <v>43603</v>
      </c>
      <c r="AD172" s="34"/>
      <c r="AE172" s="33">
        <f t="shared" si="25"/>
        <v>43596</v>
      </c>
      <c r="AF172" s="33">
        <f t="shared" si="26"/>
        <v>43603</v>
      </c>
      <c r="AG172" s="33">
        <f t="shared" si="27"/>
        <v>43608</v>
      </c>
      <c r="AH172">
        <v>215</v>
      </c>
      <c r="AK172" s="36" t="str">
        <f t="shared" si="28"/>
        <v/>
      </c>
      <c r="AL172" t="str">
        <f t="shared" si="32"/>
        <v/>
      </c>
      <c r="AM172" t="s">
        <v>393</v>
      </c>
      <c r="AN172">
        <f t="shared" si="29"/>
        <v>12</v>
      </c>
      <c r="AO172" t="str">
        <f t="shared" si="30"/>
        <v>11.5.---18.5.---23.5.</v>
      </c>
      <c r="AP172" t="str">
        <f t="shared" si="31"/>
        <v>Tunturikihu</v>
      </c>
      <c r="AQ172" t="str">
        <f t="shared" si="33"/>
        <v>(11.5.---18.5.---23.5.)</v>
      </c>
    </row>
    <row r="173" spans="1:43" x14ac:dyDescent="0.2">
      <c r="A173" s="1"/>
      <c r="B173" s="9">
        <f t="shared" si="34"/>
        <v>168</v>
      </c>
      <c r="C173" s="10"/>
      <c r="D173" s="15" t="s">
        <v>166</v>
      </c>
      <c r="E173" s="16"/>
      <c r="F173" s="11"/>
      <c r="G173" s="12"/>
      <c r="H173" s="11"/>
      <c r="I173" s="12"/>
      <c r="J173" s="11"/>
      <c r="K173" s="12"/>
      <c r="L173" s="11"/>
      <c r="M173" s="12"/>
      <c r="N173" s="11"/>
      <c r="O173" s="12"/>
      <c r="P173" s="11"/>
      <c r="Q173" s="12"/>
      <c r="R173" s="11"/>
      <c r="S173" s="12"/>
      <c r="T173" s="11"/>
      <c r="U173" s="12"/>
      <c r="V173" s="11"/>
      <c r="W173" s="12"/>
      <c r="X173" s="11"/>
      <c r="Y173" s="12"/>
      <c r="Z173" s="11"/>
      <c r="AA173" s="12"/>
      <c r="AB173" s="11"/>
      <c r="AC173" s="12" t="s">
        <v>393</v>
      </c>
      <c r="AD173" s="34"/>
      <c r="AE173" s="33" t="str">
        <f t="shared" si="25"/>
        <v/>
      </c>
      <c r="AF173" s="33" t="str">
        <f t="shared" si="26"/>
        <v/>
      </c>
      <c r="AG173" s="33" t="str">
        <f t="shared" si="27"/>
        <v/>
      </c>
      <c r="AH173">
        <v>216</v>
      </c>
      <c r="AK173" s="36" t="str">
        <f t="shared" si="28"/>
        <v/>
      </c>
      <c r="AL173" t="str">
        <f t="shared" si="32"/>
        <v/>
      </c>
      <c r="AM173" t="s">
        <v>393</v>
      </c>
      <c r="AN173" t="e">
        <f t="shared" si="29"/>
        <v>#VALUE!</v>
      </c>
      <c r="AO173" t="str">
        <f t="shared" si="30"/>
        <v>------</v>
      </c>
      <c r="AP173" t="str">
        <f t="shared" si="31"/>
        <v>Isokihu</v>
      </c>
      <c r="AQ173" t="str">
        <f t="shared" si="33"/>
        <v>(------)</v>
      </c>
    </row>
    <row r="174" spans="1:43" x14ac:dyDescent="0.2">
      <c r="A174" s="1"/>
      <c r="B174" s="9">
        <f t="shared" si="34"/>
        <v>169</v>
      </c>
      <c r="C174" s="10"/>
      <c r="D174" s="15" t="s">
        <v>167</v>
      </c>
      <c r="E174" s="16"/>
      <c r="F174" s="11"/>
      <c r="G174" s="12"/>
      <c r="H174" s="11"/>
      <c r="I174" s="12"/>
      <c r="J174" s="11">
        <v>43476</v>
      </c>
      <c r="K174" s="12"/>
      <c r="L174" s="11"/>
      <c r="M174" s="12"/>
      <c r="N174" s="11"/>
      <c r="O174" s="12"/>
      <c r="P174" s="11"/>
      <c r="Q174" s="12"/>
      <c r="R174" s="11"/>
      <c r="S174" s="12"/>
      <c r="T174" s="11"/>
      <c r="U174" s="12"/>
      <c r="V174" s="11"/>
      <c r="W174" s="12"/>
      <c r="X174" s="11"/>
      <c r="Y174" s="12"/>
      <c r="Z174" s="11">
        <v>43600</v>
      </c>
      <c r="AA174" s="12"/>
      <c r="AB174" s="11"/>
      <c r="AC174" s="12" t="s">
        <v>393</v>
      </c>
      <c r="AD174" s="34"/>
      <c r="AE174" s="33">
        <f t="shared" si="25"/>
        <v>43476</v>
      </c>
      <c r="AF174" s="33">
        <f t="shared" si="26"/>
        <v>43538</v>
      </c>
      <c r="AG174" s="33">
        <f t="shared" si="27"/>
        <v>43600</v>
      </c>
      <c r="AH174">
        <v>217</v>
      </c>
      <c r="AK174" s="36" t="str">
        <f t="shared" si="28"/>
        <v/>
      </c>
      <c r="AL174">
        <f t="shared" si="32"/>
        <v>1</v>
      </c>
      <c r="AM174">
        <v>1</v>
      </c>
      <c r="AN174">
        <f t="shared" si="29"/>
        <v>124</v>
      </c>
      <c r="AO174" t="str">
        <f t="shared" si="30"/>
        <v>11.1.---14.3.---15.5.</v>
      </c>
      <c r="AP174" t="str">
        <f t="shared" si="31"/>
        <v>Lunni</v>
      </c>
      <c r="AQ174" t="str">
        <f t="shared" si="33"/>
        <v>(11.1.---14.3.---15.5., 1/21)</v>
      </c>
    </row>
    <row r="175" spans="1:43" x14ac:dyDescent="0.2">
      <c r="A175" s="1"/>
      <c r="B175" s="9">
        <f t="shared" si="34"/>
        <v>170</v>
      </c>
      <c r="C175" s="10"/>
      <c r="D175" s="9" t="s">
        <v>168</v>
      </c>
      <c r="E175" s="10"/>
      <c r="F175" s="11">
        <v>43607</v>
      </c>
      <c r="G175" s="12">
        <f>IF(AG1,DATE(2019,1,7),DATE(2019,5,21))</f>
        <v>43606</v>
      </c>
      <c r="H175" s="11">
        <v>43611</v>
      </c>
      <c r="I175" s="12">
        <v>43606</v>
      </c>
      <c r="J175" s="11">
        <v>43616</v>
      </c>
      <c r="K175" s="12">
        <v>43608</v>
      </c>
      <c r="L175" s="11">
        <v>43608</v>
      </c>
      <c r="M175" s="12">
        <f>IF(AG1,DATE(2019,1,6),DATE(2019,5,27))</f>
        <v>43612</v>
      </c>
      <c r="N175" s="11">
        <v>43605</v>
      </c>
      <c r="O175" s="12">
        <v>43589</v>
      </c>
      <c r="P175" s="11">
        <v>43608</v>
      </c>
      <c r="Q175" s="12">
        <v>43601</v>
      </c>
      <c r="R175" s="11">
        <v>43602</v>
      </c>
      <c r="S175" s="12">
        <v>43610</v>
      </c>
      <c r="T175" s="11">
        <v>43587</v>
      </c>
      <c r="U175" s="12">
        <v>43583</v>
      </c>
      <c r="V175" s="11">
        <v>43601</v>
      </c>
      <c r="W175" s="12">
        <v>43590</v>
      </c>
      <c r="X175" s="11">
        <v>43595</v>
      </c>
      <c r="Y175" s="12">
        <v>43601</v>
      </c>
      <c r="Z175" s="11">
        <v>43588</v>
      </c>
      <c r="AA175" s="12">
        <v>43605</v>
      </c>
      <c r="AB175" s="11">
        <v>43602</v>
      </c>
      <c r="AC175" s="12">
        <v>43601</v>
      </c>
      <c r="AD175" s="34"/>
      <c r="AE175" s="33">
        <f t="shared" si="25"/>
        <v>43583</v>
      </c>
      <c r="AF175" s="33">
        <f t="shared" si="26"/>
        <v>43603.5</v>
      </c>
      <c r="AG175" s="33">
        <f t="shared" si="27"/>
        <v>43616</v>
      </c>
      <c r="AH175">
        <v>218</v>
      </c>
      <c r="AK175" s="36" t="str">
        <f t="shared" si="28"/>
        <v/>
      </c>
      <c r="AL175" t="str">
        <f t="shared" si="32"/>
        <v/>
      </c>
      <c r="AM175">
        <v>2</v>
      </c>
      <c r="AN175">
        <f t="shared" si="29"/>
        <v>33</v>
      </c>
      <c r="AO175" t="str">
        <f t="shared" si="30"/>
        <v>28.4.---18.5.---31.5.</v>
      </c>
      <c r="AP175" t="str">
        <f t="shared" si="31"/>
        <v>Riskilä</v>
      </c>
      <c r="AQ175" t="str">
        <f t="shared" si="33"/>
        <v>(28.4.---18.5.---31.5., 2/21)</v>
      </c>
    </row>
    <row r="176" spans="1:43" x14ac:dyDescent="0.2">
      <c r="A176" s="1"/>
      <c r="B176" s="9">
        <f t="shared" si="34"/>
        <v>171</v>
      </c>
      <c r="C176" s="10"/>
      <c r="D176" s="9" t="s">
        <v>169</v>
      </c>
      <c r="E176" s="10"/>
      <c r="F176" s="11">
        <v>43607</v>
      </c>
      <c r="G176" s="12">
        <v>43596</v>
      </c>
      <c r="H176" s="11">
        <v>43603</v>
      </c>
      <c r="I176" s="12">
        <v>43610</v>
      </c>
      <c r="J176" s="11">
        <v>43591</v>
      </c>
      <c r="K176" s="12">
        <v>43588</v>
      </c>
      <c r="L176" s="11">
        <v>43598</v>
      </c>
      <c r="M176" s="12">
        <f>IF(AG1,DATE(2019,1,1),DATE(2019,5,19))</f>
        <v>43604</v>
      </c>
      <c r="N176" s="11">
        <f>IF(AG1,DATE(2019,1,1),DATE(2019,4,21))</f>
        <v>43576</v>
      </c>
      <c r="O176" s="12">
        <v>43607</v>
      </c>
      <c r="P176" s="11">
        <v>43604</v>
      </c>
      <c r="Q176" s="12">
        <v>43605</v>
      </c>
      <c r="R176" s="11">
        <v>43583</v>
      </c>
      <c r="S176" s="12">
        <v>43587</v>
      </c>
      <c r="T176" s="11">
        <f>IF(AG1,DATE(2019,1,6),DATE(2019,4,26))</f>
        <v>43581</v>
      </c>
      <c r="U176" s="12">
        <v>43583</v>
      </c>
      <c r="V176" s="11">
        <v>43586</v>
      </c>
      <c r="W176" s="12">
        <v>43588</v>
      </c>
      <c r="X176" s="11">
        <v>43590</v>
      </c>
      <c r="Y176" s="12">
        <v>43590</v>
      </c>
      <c r="Z176" s="11">
        <v>43551</v>
      </c>
      <c r="AA176" s="12">
        <v>43587</v>
      </c>
      <c r="AB176" s="11">
        <v>43610</v>
      </c>
      <c r="AC176" s="12">
        <v>43587</v>
      </c>
      <c r="AD176" s="34"/>
      <c r="AE176" s="33">
        <f t="shared" si="25"/>
        <v>43551</v>
      </c>
      <c r="AF176" s="33">
        <f t="shared" si="26"/>
        <v>43590</v>
      </c>
      <c r="AG176" s="33">
        <f t="shared" si="27"/>
        <v>43610</v>
      </c>
      <c r="AH176">
        <v>220</v>
      </c>
      <c r="AK176" s="36" t="str">
        <f t="shared" si="28"/>
        <v/>
      </c>
      <c r="AL176" t="str">
        <f t="shared" si="32"/>
        <v/>
      </c>
      <c r="AM176">
        <v>3</v>
      </c>
      <c r="AN176">
        <f t="shared" si="29"/>
        <v>59</v>
      </c>
      <c r="AO176" t="str">
        <f t="shared" si="30"/>
        <v>27.3.---5.5.---25.5.</v>
      </c>
      <c r="AP176" t="str">
        <f t="shared" si="31"/>
        <v>Ruokki</v>
      </c>
      <c r="AQ176" t="str">
        <f t="shared" si="33"/>
        <v>(27.3.---5.5.---25.5., 3/21)</v>
      </c>
    </row>
    <row r="177" spans="1:43" x14ac:dyDescent="0.2">
      <c r="A177" s="1"/>
      <c r="B177" s="9">
        <f t="shared" si="34"/>
        <v>172</v>
      </c>
      <c r="C177" s="10"/>
      <c r="D177" s="13" t="s">
        <v>170</v>
      </c>
      <c r="E177" s="14"/>
      <c r="F177" s="11"/>
      <c r="G177" s="12"/>
      <c r="H177" s="11"/>
      <c r="I177" s="12">
        <v>43512</v>
      </c>
      <c r="J177" s="11"/>
      <c r="K177" s="12">
        <v>43521</v>
      </c>
      <c r="L177" s="11"/>
      <c r="M177" s="12">
        <v>43773</v>
      </c>
      <c r="N177" s="11">
        <v>43770</v>
      </c>
      <c r="O177" s="12">
        <v>43782</v>
      </c>
      <c r="P177" s="11">
        <v>43754</v>
      </c>
      <c r="Q177" s="12"/>
      <c r="R177" s="11"/>
      <c r="S177" s="12"/>
      <c r="T177" s="11"/>
      <c r="U177" s="12">
        <v>43595</v>
      </c>
      <c r="V177" s="11">
        <v>43784</v>
      </c>
      <c r="W177" s="12"/>
      <c r="X177" s="11">
        <v>43591</v>
      </c>
      <c r="Y177" s="12">
        <v>43599</v>
      </c>
      <c r="Z177" s="11"/>
      <c r="AA177" s="12">
        <v>43515</v>
      </c>
      <c r="AB177" s="11"/>
      <c r="AC177" s="12">
        <v>43605</v>
      </c>
      <c r="AD177" s="34"/>
      <c r="AE177" s="33">
        <f t="shared" si="25"/>
        <v>43512</v>
      </c>
      <c r="AF177" s="33">
        <f t="shared" si="26"/>
        <v>43602</v>
      </c>
      <c r="AG177" s="33">
        <f t="shared" si="27"/>
        <v>43784</v>
      </c>
      <c r="AH177">
        <v>221</v>
      </c>
      <c r="AK177" s="36" t="str">
        <f t="shared" si="28"/>
        <v/>
      </c>
      <c r="AL177">
        <f t="shared" si="32"/>
        <v>2</v>
      </c>
      <c r="AM177">
        <v>2</v>
      </c>
      <c r="AN177">
        <f t="shared" si="29"/>
        <v>272</v>
      </c>
      <c r="AO177" t="str">
        <f t="shared" si="30"/>
        <v>16.2.---17.5.---15.11.</v>
      </c>
      <c r="AP177" t="str">
        <f t="shared" si="31"/>
        <v>Pikkuruokki</v>
      </c>
      <c r="AQ177" t="str">
        <f t="shared" si="33"/>
        <v>(16.2.---17.5.---15.11., 2/21)</v>
      </c>
    </row>
    <row r="178" spans="1:43" x14ac:dyDescent="0.2">
      <c r="A178" s="1"/>
      <c r="B178" s="9">
        <f t="shared" si="34"/>
        <v>173</v>
      </c>
      <c r="C178" s="10"/>
      <c r="D178" s="13" t="s">
        <v>171</v>
      </c>
      <c r="E178" s="14"/>
      <c r="F178" s="11"/>
      <c r="G178" s="12"/>
      <c r="H178" s="11"/>
      <c r="I178" s="12"/>
      <c r="J178" s="11"/>
      <c r="K178" s="12"/>
      <c r="L178" s="11"/>
      <c r="M178" s="12">
        <v>43604</v>
      </c>
      <c r="N178" s="11">
        <v>43750</v>
      </c>
      <c r="O178" s="12"/>
      <c r="P178" s="11"/>
      <c r="Q178" s="12"/>
      <c r="R178" s="11"/>
      <c r="S178" s="12"/>
      <c r="T178" s="11"/>
      <c r="U178" s="12"/>
      <c r="V178" s="11"/>
      <c r="W178" s="12"/>
      <c r="X178" s="11">
        <v>43591</v>
      </c>
      <c r="Y178" s="12">
        <v>43607</v>
      </c>
      <c r="Z178" s="11">
        <v>43590</v>
      </c>
      <c r="AA178" s="12">
        <v>43615</v>
      </c>
      <c r="AB178" s="11"/>
      <c r="AC178" s="12">
        <v>43612</v>
      </c>
      <c r="AD178" s="34"/>
      <c r="AE178" s="33">
        <f t="shared" si="25"/>
        <v>43590</v>
      </c>
      <c r="AF178" s="33">
        <f t="shared" si="26"/>
        <v>43607</v>
      </c>
      <c r="AG178" s="33">
        <f t="shared" si="27"/>
        <v>43750</v>
      </c>
      <c r="AH178">
        <v>222</v>
      </c>
      <c r="AK178" s="36" t="str">
        <f t="shared" si="28"/>
        <v/>
      </c>
      <c r="AL178" t="str">
        <f t="shared" si="32"/>
        <v/>
      </c>
      <c r="AM178" t="s">
        <v>393</v>
      </c>
      <c r="AN178">
        <f t="shared" si="29"/>
        <v>160</v>
      </c>
      <c r="AO178" t="str">
        <f t="shared" si="30"/>
        <v>5.5.---22.5.---12.10.</v>
      </c>
      <c r="AP178" t="str">
        <f t="shared" si="31"/>
        <v>Etelänkiisla</v>
      </c>
      <c r="AQ178" t="str">
        <f t="shared" si="33"/>
        <v>(5.5.---22.5.---12.10.)</v>
      </c>
    </row>
    <row r="179" spans="1:43" x14ac:dyDescent="0.2">
      <c r="A179" s="1"/>
      <c r="B179" s="9">
        <f t="shared" si="34"/>
        <v>174</v>
      </c>
      <c r="C179" s="10"/>
      <c r="D179" s="15" t="s">
        <v>172</v>
      </c>
      <c r="E179" s="16"/>
      <c r="F179" s="11"/>
      <c r="G179" s="12"/>
      <c r="H179" s="11"/>
      <c r="I179" s="12"/>
      <c r="J179" s="11"/>
      <c r="K179" s="12"/>
      <c r="L179" s="11"/>
      <c r="M179" s="12"/>
      <c r="N179" s="11"/>
      <c r="O179" s="12"/>
      <c r="P179" s="11"/>
      <c r="Q179" s="12"/>
      <c r="R179" s="11"/>
      <c r="S179" s="12"/>
      <c r="T179" s="11"/>
      <c r="U179" s="12"/>
      <c r="V179" s="11"/>
      <c r="W179" s="12"/>
      <c r="X179" s="11"/>
      <c r="Y179" s="12"/>
      <c r="Z179" s="11"/>
      <c r="AA179" s="12"/>
      <c r="AB179" s="11"/>
      <c r="AC179" s="12" t="s">
        <v>393</v>
      </c>
      <c r="AD179" s="34"/>
      <c r="AE179" s="33" t="str">
        <f t="shared" si="25"/>
        <v/>
      </c>
      <c r="AF179" s="33" t="str">
        <f t="shared" si="26"/>
        <v/>
      </c>
      <c r="AG179" s="33" t="str">
        <f t="shared" si="27"/>
        <v/>
      </c>
      <c r="AH179">
        <v>223</v>
      </c>
      <c r="AK179" s="36" t="str">
        <f t="shared" si="28"/>
        <v/>
      </c>
      <c r="AL179" t="str">
        <f t="shared" si="32"/>
        <v/>
      </c>
      <c r="AM179" t="s">
        <v>393</v>
      </c>
      <c r="AN179" t="e">
        <f t="shared" si="29"/>
        <v>#VALUE!</v>
      </c>
      <c r="AO179" t="str">
        <f t="shared" si="30"/>
        <v>------</v>
      </c>
      <c r="AP179" t="str">
        <f t="shared" si="31"/>
        <v>Pohjankiisla</v>
      </c>
      <c r="AQ179" t="str">
        <f t="shared" si="33"/>
        <v>(------)</v>
      </c>
    </row>
    <row r="180" spans="1:43" x14ac:dyDescent="0.2">
      <c r="A180" s="1"/>
      <c r="B180" s="9">
        <f t="shared" si="34"/>
        <v>175</v>
      </c>
      <c r="C180" s="10"/>
      <c r="D180" s="9" t="s">
        <v>173</v>
      </c>
      <c r="E180" s="10"/>
      <c r="F180" s="11">
        <v>43597</v>
      </c>
      <c r="G180" s="12">
        <v>43590</v>
      </c>
      <c r="H180" s="11">
        <v>43594</v>
      </c>
      <c r="I180" s="12">
        <v>43595</v>
      </c>
      <c r="J180" s="11">
        <v>43591</v>
      </c>
      <c r="K180" s="12">
        <v>43594</v>
      </c>
      <c r="L180" s="11">
        <v>43595</v>
      </c>
      <c r="M180" s="12">
        <v>43592</v>
      </c>
      <c r="N180" s="11">
        <v>43596</v>
      </c>
      <c r="O180" s="12">
        <v>43587</v>
      </c>
      <c r="P180" s="11">
        <v>43592</v>
      </c>
      <c r="Q180" s="12">
        <v>43588</v>
      </c>
      <c r="R180" s="11">
        <v>43594</v>
      </c>
      <c r="S180" s="12">
        <v>43593</v>
      </c>
      <c r="T180" s="11">
        <v>43588</v>
      </c>
      <c r="U180" s="12">
        <v>43591</v>
      </c>
      <c r="V180" s="11">
        <v>43590</v>
      </c>
      <c r="W180" s="12">
        <v>43596</v>
      </c>
      <c r="X180" s="11">
        <v>43594</v>
      </c>
      <c r="Y180" s="12">
        <v>43594</v>
      </c>
      <c r="Z180" s="11">
        <v>43591</v>
      </c>
      <c r="AA180" s="12">
        <v>43593</v>
      </c>
      <c r="AB180" s="11">
        <v>43593</v>
      </c>
      <c r="AC180" s="12">
        <v>43594</v>
      </c>
      <c r="AD180" s="34"/>
      <c r="AE180" s="33">
        <f t="shared" si="25"/>
        <v>43587</v>
      </c>
      <c r="AF180" s="33">
        <f t="shared" si="26"/>
        <v>43593</v>
      </c>
      <c r="AG180" s="33">
        <f t="shared" si="27"/>
        <v>43597</v>
      </c>
      <c r="AH180">
        <v>224</v>
      </c>
      <c r="AK180" s="36" t="str">
        <f t="shared" si="28"/>
        <v/>
      </c>
      <c r="AL180" t="str">
        <f t="shared" si="32"/>
        <v/>
      </c>
      <c r="AM180" t="s">
        <v>393</v>
      </c>
      <c r="AN180">
        <f t="shared" si="29"/>
        <v>10</v>
      </c>
      <c r="AO180" t="str">
        <f t="shared" si="30"/>
        <v>2.5.---8.5.---12.5.</v>
      </c>
      <c r="AP180" t="str">
        <f t="shared" si="31"/>
        <v>Pikkutiira</v>
      </c>
      <c r="AQ180" t="str">
        <f t="shared" si="33"/>
        <v>(2.5.---8.5.---12.5.)</v>
      </c>
    </row>
    <row r="181" spans="1:43" x14ac:dyDescent="0.2">
      <c r="A181" s="1"/>
      <c r="B181" s="9">
        <f t="shared" si="34"/>
        <v>176</v>
      </c>
      <c r="C181" s="10"/>
      <c r="D181" s="15" t="s">
        <v>174</v>
      </c>
      <c r="E181" s="16"/>
      <c r="F181" s="11"/>
      <c r="G181" s="12"/>
      <c r="H181" s="11"/>
      <c r="I181" s="12"/>
      <c r="J181" s="11"/>
      <c r="K181" s="12"/>
      <c r="L181" s="11"/>
      <c r="M181" s="12"/>
      <c r="N181" s="11"/>
      <c r="O181" s="12"/>
      <c r="P181" s="11">
        <v>43633</v>
      </c>
      <c r="Q181" s="12">
        <v>43620</v>
      </c>
      <c r="R181" s="11">
        <v>43680</v>
      </c>
      <c r="S181" s="12">
        <v>43603</v>
      </c>
      <c r="T181" s="11">
        <v>43600</v>
      </c>
      <c r="U181" s="12">
        <v>43605</v>
      </c>
      <c r="V181" s="11">
        <v>43599</v>
      </c>
      <c r="W181" s="12"/>
      <c r="X181" s="11"/>
      <c r="Y181" s="12"/>
      <c r="Z181" s="11"/>
      <c r="AA181" s="12"/>
      <c r="AB181" s="11"/>
      <c r="AC181" s="12" t="s">
        <v>393</v>
      </c>
      <c r="AD181" s="34"/>
      <c r="AE181" s="33">
        <f t="shared" si="25"/>
        <v>43599</v>
      </c>
      <c r="AF181" s="33">
        <f t="shared" si="26"/>
        <v>43605</v>
      </c>
      <c r="AG181" s="33">
        <f t="shared" si="27"/>
        <v>43680</v>
      </c>
      <c r="AH181">
        <v>225</v>
      </c>
      <c r="AK181" s="36" t="str">
        <f t="shared" si="28"/>
        <v/>
      </c>
      <c r="AL181" t="str">
        <f t="shared" si="32"/>
        <v/>
      </c>
      <c r="AM181" t="s">
        <v>393</v>
      </c>
      <c r="AN181">
        <f t="shared" si="29"/>
        <v>81</v>
      </c>
      <c r="AO181" t="str">
        <f t="shared" si="30"/>
        <v>14.5.---20.5.---3.8.</v>
      </c>
      <c r="AP181" t="str">
        <f t="shared" si="31"/>
        <v>Hietatiira</v>
      </c>
      <c r="AQ181" t="str">
        <f t="shared" si="33"/>
        <v>(14.5.---20.5.---3.8.)</v>
      </c>
    </row>
    <row r="182" spans="1:43" x14ac:dyDescent="0.2">
      <c r="A182" s="1"/>
      <c r="B182" s="9">
        <f t="shared" si="34"/>
        <v>177</v>
      </c>
      <c r="C182" s="10"/>
      <c r="D182" s="9" t="s">
        <v>175</v>
      </c>
      <c r="E182" s="10"/>
      <c r="F182" s="11">
        <v>43573</v>
      </c>
      <c r="G182" s="12">
        <v>43581</v>
      </c>
      <c r="H182" s="11">
        <v>43575</v>
      </c>
      <c r="I182" s="12">
        <v>43577</v>
      </c>
      <c r="J182" s="11">
        <v>43574</v>
      </c>
      <c r="K182" s="12">
        <v>43572</v>
      </c>
      <c r="L182" s="11">
        <v>43577</v>
      </c>
      <c r="M182" s="12">
        <v>43572</v>
      </c>
      <c r="N182" s="11">
        <v>43573</v>
      </c>
      <c r="O182" s="12">
        <v>43576</v>
      </c>
      <c r="P182" s="11">
        <v>43577</v>
      </c>
      <c r="Q182" s="12">
        <v>43576</v>
      </c>
      <c r="R182" s="11">
        <v>43571</v>
      </c>
      <c r="S182" s="12">
        <v>43576</v>
      </c>
      <c r="T182" s="11">
        <v>43573</v>
      </c>
      <c r="U182" s="12">
        <v>43560</v>
      </c>
      <c r="V182" s="11">
        <v>43567</v>
      </c>
      <c r="W182" s="12">
        <v>43574</v>
      </c>
      <c r="X182" s="11">
        <v>43578</v>
      </c>
      <c r="Y182" s="12">
        <v>43576</v>
      </c>
      <c r="Z182" s="11">
        <v>43567</v>
      </c>
      <c r="AA182" s="12">
        <v>43572</v>
      </c>
      <c r="AB182" s="11">
        <v>43576</v>
      </c>
      <c r="AC182" s="12">
        <v>43577</v>
      </c>
      <c r="AD182" s="34"/>
      <c r="AE182" s="33">
        <f t="shared" si="25"/>
        <v>43560</v>
      </c>
      <c r="AF182" s="33">
        <f t="shared" si="26"/>
        <v>43574.5</v>
      </c>
      <c r="AG182" s="33">
        <f t="shared" si="27"/>
        <v>43581</v>
      </c>
      <c r="AH182">
        <v>226</v>
      </c>
      <c r="AK182" s="36" t="str">
        <f t="shared" si="28"/>
        <v/>
      </c>
      <c r="AL182" t="str">
        <f t="shared" si="32"/>
        <v/>
      </c>
      <c r="AM182" t="s">
        <v>393</v>
      </c>
      <c r="AN182">
        <f t="shared" si="29"/>
        <v>21</v>
      </c>
      <c r="AO182" t="str">
        <f t="shared" si="30"/>
        <v>5.4.---19.4.---26.4.</v>
      </c>
      <c r="AP182" t="str">
        <f t="shared" si="31"/>
        <v>Räyskä</v>
      </c>
      <c r="AQ182" t="str">
        <f t="shared" si="33"/>
        <v>(5.4.---19.4.---26.4.)</v>
      </c>
    </row>
    <row r="183" spans="1:43" x14ac:dyDescent="0.2">
      <c r="A183" s="1"/>
      <c r="B183" s="9">
        <f t="shared" si="34"/>
        <v>178</v>
      </c>
      <c r="C183" s="10"/>
      <c r="D183" s="15" t="s">
        <v>176</v>
      </c>
      <c r="E183" s="16"/>
      <c r="F183" s="11"/>
      <c r="G183" s="12"/>
      <c r="H183" s="11"/>
      <c r="I183" s="12"/>
      <c r="J183" s="11"/>
      <c r="K183" s="12"/>
      <c r="L183" s="11"/>
      <c r="M183" s="12"/>
      <c r="N183" s="11"/>
      <c r="O183" s="12"/>
      <c r="P183" s="11"/>
      <c r="Q183" s="12">
        <v>43608</v>
      </c>
      <c r="R183" s="11"/>
      <c r="S183" s="12"/>
      <c r="T183" s="11"/>
      <c r="U183" s="12"/>
      <c r="V183" s="11"/>
      <c r="W183" s="12"/>
      <c r="X183" s="11"/>
      <c r="Y183" s="12"/>
      <c r="Z183" s="11"/>
      <c r="AA183" s="12"/>
      <c r="AB183" s="11"/>
      <c r="AC183" s="12" t="s">
        <v>393</v>
      </c>
      <c r="AD183" s="34"/>
      <c r="AE183" s="33">
        <f t="shared" si="25"/>
        <v>43608</v>
      </c>
      <c r="AF183" s="33">
        <f t="shared" si="26"/>
        <v>43608</v>
      </c>
      <c r="AG183" s="33">
        <f t="shared" si="27"/>
        <v>43608</v>
      </c>
      <c r="AH183">
        <v>227</v>
      </c>
      <c r="AK183" s="36" t="str">
        <f t="shared" si="28"/>
        <v/>
      </c>
      <c r="AL183" t="str">
        <f t="shared" si="32"/>
        <v/>
      </c>
      <c r="AM183" t="s">
        <v>393</v>
      </c>
      <c r="AN183">
        <f t="shared" si="29"/>
        <v>0</v>
      </c>
      <c r="AO183" t="str">
        <f t="shared" si="30"/>
        <v>23.5.---23.5.---23.5.</v>
      </c>
      <c r="AP183" t="str">
        <f t="shared" si="31"/>
        <v>Valkoposkitiira</v>
      </c>
      <c r="AQ183" t="str">
        <f t="shared" si="33"/>
        <v>(23.5.---23.5.---23.5.)</v>
      </c>
    </row>
    <row r="184" spans="1:43" x14ac:dyDescent="0.2">
      <c r="A184" s="1"/>
      <c r="B184" s="9">
        <f t="shared" si="34"/>
        <v>179</v>
      </c>
      <c r="C184" s="10"/>
      <c r="D184" s="9" t="s">
        <v>177</v>
      </c>
      <c r="E184" s="10"/>
      <c r="F184" s="11">
        <v>43608</v>
      </c>
      <c r="G184" s="12">
        <v>43634</v>
      </c>
      <c r="H184" s="11">
        <v>43609</v>
      </c>
      <c r="I184" s="12">
        <v>43601</v>
      </c>
      <c r="J184" s="11">
        <v>43613</v>
      </c>
      <c r="K184" s="12">
        <v>43609</v>
      </c>
      <c r="L184" s="11">
        <v>43607</v>
      </c>
      <c r="M184" s="12">
        <v>43666</v>
      </c>
      <c r="N184" s="11">
        <v>43621</v>
      </c>
      <c r="O184" s="12">
        <v>43607</v>
      </c>
      <c r="P184" s="11">
        <v>43610</v>
      </c>
      <c r="Q184" s="12">
        <v>43608</v>
      </c>
      <c r="R184" s="11"/>
      <c r="S184" s="12">
        <v>43610</v>
      </c>
      <c r="T184" s="11">
        <v>43597</v>
      </c>
      <c r="U184" s="12">
        <v>43597</v>
      </c>
      <c r="V184" s="11">
        <v>43609</v>
      </c>
      <c r="W184" s="12"/>
      <c r="X184" s="11">
        <v>43631</v>
      </c>
      <c r="Y184" s="12">
        <v>43626</v>
      </c>
      <c r="Z184" s="11">
        <v>43612</v>
      </c>
      <c r="AA184" s="12">
        <v>43599</v>
      </c>
      <c r="AB184" s="11">
        <v>43621</v>
      </c>
      <c r="AC184" s="12">
        <v>43629</v>
      </c>
      <c r="AD184" s="34"/>
      <c r="AE184" s="33">
        <f t="shared" si="25"/>
        <v>43597</v>
      </c>
      <c r="AF184" s="33">
        <f t="shared" si="26"/>
        <v>43609.5</v>
      </c>
      <c r="AG184" s="33">
        <f t="shared" si="27"/>
        <v>43666</v>
      </c>
      <c r="AH184">
        <v>228</v>
      </c>
      <c r="AK184" s="36" t="str">
        <f t="shared" si="28"/>
        <v/>
      </c>
      <c r="AL184" t="str">
        <f t="shared" si="32"/>
        <v/>
      </c>
      <c r="AM184" t="s">
        <v>393</v>
      </c>
      <c r="AN184">
        <f t="shared" si="29"/>
        <v>69</v>
      </c>
      <c r="AO184" t="str">
        <f t="shared" si="30"/>
        <v>12.5.---24.5.---20.7.</v>
      </c>
      <c r="AP184" t="str">
        <f t="shared" si="31"/>
        <v>Mustatiira</v>
      </c>
      <c r="AQ184" t="str">
        <f t="shared" si="33"/>
        <v>(12.5.---24.5.---20.7.)</v>
      </c>
    </row>
    <row r="185" spans="1:43" x14ac:dyDescent="0.2">
      <c r="A185" s="1"/>
      <c r="B185" s="9">
        <f t="shared" si="34"/>
        <v>180</v>
      </c>
      <c r="C185" s="10"/>
      <c r="D185" s="13" t="s">
        <v>178</v>
      </c>
      <c r="E185" s="14"/>
      <c r="F185" s="11"/>
      <c r="G185" s="12"/>
      <c r="H185" s="11"/>
      <c r="I185" s="12"/>
      <c r="J185" s="11"/>
      <c r="K185" s="12"/>
      <c r="L185" s="11">
        <v>43607</v>
      </c>
      <c r="M185" s="12"/>
      <c r="N185" s="11"/>
      <c r="O185" s="12"/>
      <c r="P185" s="11"/>
      <c r="Q185" s="12"/>
      <c r="R185" s="11"/>
      <c r="S185" s="12"/>
      <c r="T185" s="11"/>
      <c r="U185" s="12"/>
      <c r="V185" s="11"/>
      <c r="W185" s="12"/>
      <c r="X185" s="11"/>
      <c r="Y185" s="12">
        <v>43626</v>
      </c>
      <c r="Z185" s="11"/>
      <c r="AA185" s="12"/>
      <c r="AB185" s="11"/>
      <c r="AC185" s="12">
        <v>43600</v>
      </c>
      <c r="AD185" s="34"/>
      <c r="AE185" s="33">
        <f t="shared" si="25"/>
        <v>43600</v>
      </c>
      <c r="AF185" s="33">
        <f t="shared" si="26"/>
        <v>43607</v>
      </c>
      <c r="AG185" s="33">
        <f t="shared" si="27"/>
        <v>43626</v>
      </c>
      <c r="AH185">
        <v>229</v>
      </c>
      <c r="AK185" s="36" t="str">
        <f t="shared" si="28"/>
        <v/>
      </c>
      <c r="AL185" t="str">
        <f t="shared" si="32"/>
        <v/>
      </c>
      <c r="AM185" t="s">
        <v>393</v>
      </c>
      <c r="AN185">
        <f t="shared" si="29"/>
        <v>26</v>
      </c>
      <c r="AO185" t="str">
        <f t="shared" si="30"/>
        <v>15.5.---22.5.---10.6.</v>
      </c>
      <c r="AP185" t="str">
        <f t="shared" si="31"/>
        <v>Valkosiipitiira</v>
      </c>
      <c r="AQ185" t="str">
        <f t="shared" si="33"/>
        <v>(15.5.---22.5.---10.6.)</v>
      </c>
    </row>
    <row r="186" spans="1:43" x14ac:dyDescent="0.2">
      <c r="A186" s="1"/>
      <c r="B186" s="9">
        <f t="shared" si="34"/>
        <v>181</v>
      </c>
      <c r="C186" s="10"/>
      <c r="D186" s="13" t="s">
        <v>179</v>
      </c>
      <c r="E186" s="14"/>
      <c r="F186" s="11"/>
      <c r="G186" s="12"/>
      <c r="H186" s="11"/>
      <c r="I186" s="12"/>
      <c r="J186" s="11"/>
      <c r="K186" s="12">
        <v>43652</v>
      </c>
      <c r="L186" s="11"/>
      <c r="M186" s="12"/>
      <c r="N186" s="11">
        <v>43588</v>
      </c>
      <c r="O186" s="12"/>
      <c r="P186" s="11"/>
      <c r="Q186" s="12">
        <v>43618</v>
      </c>
      <c r="R186" s="11"/>
      <c r="S186" s="12"/>
      <c r="T186" s="11">
        <v>43693</v>
      </c>
      <c r="U186" s="12"/>
      <c r="V186" s="11"/>
      <c r="W186" s="12">
        <v>43623</v>
      </c>
      <c r="X186" s="11"/>
      <c r="Y186" s="12"/>
      <c r="Z186" s="11">
        <v>43697</v>
      </c>
      <c r="AA186" s="12"/>
      <c r="AB186" s="11"/>
      <c r="AC186" s="12">
        <v>43683</v>
      </c>
      <c r="AD186" s="34"/>
      <c r="AE186" s="33">
        <f t="shared" si="25"/>
        <v>43588</v>
      </c>
      <c r="AF186" s="33">
        <f t="shared" si="26"/>
        <v>43652</v>
      </c>
      <c r="AG186" s="33">
        <f t="shared" si="27"/>
        <v>43697</v>
      </c>
      <c r="AH186">
        <v>230</v>
      </c>
      <c r="AK186" s="36" t="str">
        <f t="shared" si="28"/>
        <v/>
      </c>
      <c r="AL186" t="str">
        <f t="shared" si="32"/>
        <v/>
      </c>
      <c r="AM186" t="s">
        <v>393</v>
      </c>
      <c r="AN186">
        <f t="shared" si="29"/>
        <v>109</v>
      </c>
      <c r="AO186" t="str">
        <f t="shared" si="30"/>
        <v>3.5.---6.7.---20.8.</v>
      </c>
      <c r="AP186" t="str">
        <f t="shared" si="31"/>
        <v>Riuttatiira</v>
      </c>
      <c r="AQ186" t="str">
        <f t="shared" si="33"/>
        <v>(3.5.---6.7.---20.8.)</v>
      </c>
    </row>
    <row r="187" spans="1:43" x14ac:dyDescent="0.2">
      <c r="A187" s="1"/>
      <c r="B187" s="9">
        <f t="shared" si="34"/>
        <v>182</v>
      </c>
      <c r="C187" s="10"/>
      <c r="D187" s="9" t="s">
        <v>180</v>
      </c>
      <c r="E187" s="10"/>
      <c r="F187" s="11">
        <v>43589</v>
      </c>
      <c r="G187" s="12">
        <v>43584</v>
      </c>
      <c r="H187" s="11">
        <v>43587</v>
      </c>
      <c r="I187" s="12">
        <v>43588</v>
      </c>
      <c r="J187" s="11">
        <v>43586</v>
      </c>
      <c r="K187" s="12">
        <v>43584</v>
      </c>
      <c r="L187" s="11">
        <v>43581</v>
      </c>
      <c r="M187" s="12">
        <v>43581</v>
      </c>
      <c r="N187" s="11">
        <v>43582</v>
      </c>
      <c r="O187" s="12">
        <v>43580</v>
      </c>
      <c r="P187" s="11">
        <v>43583</v>
      </c>
      <c r="Q187" s="12">
        <v>43588</v>
      </c>
      <c r="R187" s="11">
        <v>43583</v>
      </c>
      <c r="S187" s="12">
        <v>43583</v>
      </c>
      <c r="T187" s="11">
        <v>43582</v>
      </c>
      <c r="U187" s="12">
        <v>43582</v>
      </c>
      <c r="V187" s="11">
        <v>43583</v>
      </c>
      <c r="W187" s="12">
        <v>43586</v>
      </c>
      <c r="X187" s="11">
        <v>43582</v>
      </c>
      <c r="Y187" s="12">
        <v>43583</v>
      </c>
      <c r="Z187" s="11">
        <v>43580</v>
      </c>
      <c r="AA187" s="12">
        <v>43584</v>
      </c>
      <c r="AB187" s="11">
        <v>43586</v>
      </c>
      <c r="AC187" s="12">
        <v>43584</v>
      </c>
      <c r="AD187" s="34"/>
      <c r="AE187" s="33">
        <f t="shared" si="25"/>
        <v>43580</v>
      </c>
      <c r="AF187" s="33">
        <f t="shared" si="26"/>
        <v>43583</v>
      </c>
      <c r="AG187" s="33">
        <f t="shared" si="27"/>
        <v>43589</v>
      </c>
      <c r="AH187">
        <v>231</v>
      </c>
      <c r="AK187" s="36" t="str">
        <f t="shared" si="28"/>
        <v/>
      </c>
      <c r="AL187" t="str">
        <f t="shared" si="32"/>
        <v/>
      </c>
      <c r="AM187" t="s">
        <v>393</v>
      </c>
      <c r="AN187">
        <f t="shared" si="29"/>
        <v>9</v>
      </c>
      <c r="AO187" t="str">
        <f t="shared" si="30"/>
        <v>25.4.---28.4.---4.5.</v>
      </c>
      <c r="AP187" t="str">
        <f t="shared" si="31"/>
        <v>Kalatiira</v>
      </c>
      <c r="AQ187" t="str">
        <f t="shared" si="33"/>
        <v>(25.4.---28.4.---4.5.)</v>
      </c>
    </row>
    <row r="188" spans="1:43" x14ac:dyDescent="0.2">
      <c r="A188" s="1"/>
      <c r="B188" s="9">
        <f t="shared" si="34"/>
        <v>183</v>
      </c>
      <c r="C188" s="10"/>
      <c r="D188" s="9" t="s">
        <v>181</v>
      </c>
      <c r="E188" s="10"/>
      <c r="F188" s="11">
        <v>43591</v>
      </c>
      <c r="G188" s="12">
        <v>43589</v>
      </c>
      <c r="H188" s="11">
        <v>43593</v>
      </c>
      <c r="I188" s="12">
        <v>43589</v>
      </c>
      <c r="J188" s="11">
        <v>43590</v>
      </c>
      <c r="K188" s="12">
        <v>43588</v>
      </c>
      <c r="L188" s="11">
        <v>43590</v>
      </c>
      <c r="M188" s="12">
        <v>43588</v>
      </c>
      <c r="N188" s="11">
        <v>43589</v>
      </c>
      <c r="O188" s="12">
        <v>43588</v>
      </c>
      <c r="P188" s="11">
        <v>43588</v>
      </c>
      <c r="Q188" s="12">
        <v>43588</v>
      </c>
      <c r="R188" s="11">
        <v>43585</v>
      </c>
      <c r="S188" s="12">
        <v>43588</v>
      </c>
      <c r="T188" s="11">
        <v>43585</v>
      </c>
      <c r="U188" s="12">
        <v>43586</v>
      </c>
      <c r="V188" s="11">
        <v>43587</v>
      </c>
      <c r="W188" s="12">
        <v>43587</v>
      </c>
      <c r="X188" s="11">
        <v>43590</v>
      </c>
      <c r="Y188" s="12">
        <v>43575</v>
      </c>
      <c r="Z188" s="11">
        <v>43586</v>
      </c>
      <c r="AA188" s="12">
        <v>43594</v>
      </c>
      <c r="AB188" s="11">
        <v>43590</v>
      </c>
      <c r="AC188" s="12">
        <v>43587</v>
      </c>
      <c r="AD188" s="34"/>
      <c r="AE188" s="33">
        <f t="shared" si="25"/>
        <v>43575</v>
      </c>
      <c r="AF188" s="33">
        <f t="shared" si="26"/>
        <v>43588</v>
      </c>
      <c r="AG188" s="33">
        <f t="shared" si="27"/>
        <v>43594</v>
      </c>
      <c r="AH188">
        <v>232</v>
      </c>
      <c r="AK188" s="36" t="str">
        <f t="shared" si="28"/>
        <v/>
      </c>
      <c r="AL188" t="str">
        <f t="shared" si="32"/>
        <v/>
      </c>
      <c r="AM188" t="s">
        <v>393</v>
      </c>
      <c r="AN188">
        <f t="shared" si="29"/>
        <v>19</v>
      </c>
      <c r="AO188" t="str">
        <f t="shared" si="30"/>
        <v>20.4.---3.5.---9.5.</v>
      </c>
      <c r="AP188" t="str">
        <f t="shared" si="31"/>
        <v>Lapintiira</v>
      </c>
      <c r="AQ188" t="str">
        <f t="shared" si="33"/>
        <v>(20.4.---3.5.---9.5.)</v>
      </c>
    </row>
    <row r="189" spans="1:43" x14ac:dyDescent="0.2">
      <c r="A189" s="1"/>
      <c r="B189" s="9">
        <f t="shared" ref="B189:B221" si="35">B188+1</f>
        <v>184</v>
      </c>
      <c r="C189" s="10"/>
      <c r="D189" s="9" t="s">
        <v>182</v>
      </c>
      <c r="E189" s="10"/>
      <c r="F189" s="11">
        <v>43581</v>
      </c>
      <c r="G189" s="12">
        <v>43584</v>
      </c>
      <c r="H189" s="11">
        <v>43582</v>
      </c>
      <c r="I189" s="12">
        <v>43588</v>
      </c>
      <c r="J189" s="11">
        <v>43583</v>
      </c>
      <c r="K189" s="12">
        <v>43586</v>
      </c>
      <c r="L189" s="11">
        <v>43583</v>
      </c>
      <c r="M189" s="12">
        <v>43584</v>
      </c>
      <c r="N189" s="11">
        <v>43576</v>
      </c>
      <c r="O189" s="12">
        <v>43582</v>
      </c>
      <c r="P189" s="11">
        <v>43587</v>
      </c>
      <c r="Q189" s="12">
        <f>IF(AG1,DATE(2019,1,11),DATE(2019,5,3))</f>
        <v>43588</v>
      </c>
      <c r="R189" s="11">
        <v>43582</v>
      </c>
      <c r="S189" s="12">
        <v>43586</v>
      </c>
      <c r="T189" s="11">
        <f>IF(AG1,DATE(2019,2,26),DATE(2019,4,27))</f>
        <v>43582</v>
      </c>
      <c r="U189" s="12">
        <v>43582</v>
      </c>
      <c r="V189" s="11">
        <v>43583</v>
      </c>
      <c r="W189" s="12">
        <v>43585</v>
      </c>
      <c r="X189" s="11">
        <v>43584</v>
      </c>
      <c r="Y189" s="12">
        <v>43576</v>
      </c>
      <c r="Z189" s="11">
        <v>43586</v>
      </c>
      <c r="AA189" s="12">
        <v>43576</v>
      </c>
      <c r="AB189" s="11">
        <v>43590</v>
      </c>
      <c r="AC189" s="12">
        <v>43585</v>
      </c>
      <c r="AD189" s="34"/>
      <c r="AE189" s="33">
        <f t="shared" si="25"/>
        <v>43576</v>
      </c>
      <c r="AF189" s="33">
        <f t="shared" si="26"/>
        <v>43583.5</v>
      </c>
      <c r="AG189" s="33">
        <f t="shared" si="27"/>
        <v>43590</v>
      </c>
      <c r="AH189">
        <v>233</v>
      </c>
      <c r="AK189" s="36" t="str">
        <f t="shared" si="28"/>
        <v/>
      </c>
      <c r="AL189" t="str">
        <f t="shared" si="32"/>
        <v/>
      </c>
      <c r="AM189">
        <v>2</v>
      </c>
      <c r="AN189">
        <f t="shared" si="29"/>
        <v>14</v>
      </c>
      <c r="AO189" t="str">
        <f t="shared" si="30"/>
        <v>21.4.---28.4.---5.5.</v>
      </c>
      <c r="AP189" t="str">
        <f t="shared" si="31"/>
        <v>Pikkulokki</v>
      </c>
      <c r="AQ189" t="str">
        <f t="shared" si="33"/>
        <v>(21.4.---28.4.---5.5., 2/21)</v>
      </c>
    </row>
    <row r="190" spans="1:43" x14ac:dyDescent="0.2">
      <c r="A190" s="1"/>
      <c r="B190" s="9">
        <f t="shared" si="35"/>
        <v>185</v>
      </c>
      <c r="C190" s="10"/>
      <c r="D190" s="15" t="s">
        <v>183</v>
      </c>
      <c r="E190" s="16"/>
      <c r="F190" s="11"/>
      <c r="G190" s="12"/>
      <c r="H190" s="11"/>
      <c r="I190" s="12"/>
      <c r="J190" s="11"/>
      <c r="K190" s="12"/>
      <c r="L190" s="11"/>
      <c r="M190" s="12"/>
      <c r="N190" s="11"/>
      <c r="O190" s="12"/>
      <c r="P190" s="11"/>
      <c r="Q190" s="12"/>
      <c r="R190" s="11"/>
      <c r="S190" s="12"/>
      <c r="T190" s="11"/>
      <c r="U190" s="12"/>
      <c r="V190" s="11"/>
      <c r="W190" s="12"/>
      <c r="X190" s="11"/>
      <c r="Y190" s="12"/>
      <c r="Z190" s="11"/>
      <c r="AA190" s="12"/>
      <c r="AB190" s="11"/>
      <c r="AC190" s="12" t="s">
        <v>393</v>
      </c>
      <c r="AD190" s="34"/>
      <c r="AE190" s="33" t="str">
        <f t="shared" si="25"/>
        <v/>
      </c>
      <c r="AF190" s="33" t="str">
        <f t="shared" si="26"/>
        <v/>
      </c>
      <c r="AG190" s="33" t="str">
        <f t="shared" si="27"/>
        <v/>
      </c>
      <c r="AH190">
        <v>235</v>
      </c>
      <c r="AK190" s="36" t="str">
        <f t="shared" si="28"/>
        <v/>
      </c>
      <c r="AL190" t="str">
        <f t="shared" si="32"/>
        <v/>
      </c>
      <c r="AM190" t="s">
        <v>393</v>
      </c>
      <c r="AN190" t="e">
        <f t="shared" si="29"/>
        <v>#VALUE!</v>
      </c>
      <c r="AO190" t="str">
        <f t="shared" si="30"/>
        <v>------</v>
      </c>
      <c r="AP190" t="str">
        <f t="shared" si="31"/>
        <v>Jäälokki</v>
      </c>
      <c r="AQ190" t="str">
        <f t="shared" si="33"/>
        <v>(------)</v>
      </c>
    </row>
    <row r="191" spans="1:43" x14ac:dyDescent="0.2">
      <c r="A191" s="1"/>
      <c r="B191" s="9">
        <f t="shared" si="35"/>
        <v>186</v>
      </c>
      <c r="C191" s="10"/>
      <c r="D191" s="15" t="s">
        <v>184</v>
      </c>
      <c r="E191" s="16"/>
      <c r="F191" s="11"/>
      <c r="G191" s="12"/>
      <c r="H191" s="11"/>
      <c r="I191" s="12"/>
      <c r="J191" s="11">
        <v>43782</v>
      </c>
      <c r="K191" s="12"/>
      <c r="L191" s="11"/>
      <c r="M191" s="12"/>
      <c r="N191" s="11">
        <v>43759</v>
      </c>
      <c r="O191" s="12"/>
      <c r="P191" s="11"/>
      <c r="Q191" s="12"/>
      <c r="R191" s="11"/>
      <c r="S191" s="12"/>
      <c r="T191" s="11"/>
      <c r="U191" s="12"/>
      <c r="V191" s="11"/>
      <c r="W191" s="12"/>
      <c r="X191" s="11">
        <v>43787</v>
      </c>
      <c r="Y191" s="12"/>
      <c r="Z191" s="11">
        <v>43726</v>
      </c>
      <c r="AA191" s="12"/>
      <c r="AB191" s="11"/>
      <c r="AC191" s="12" t="s">
        <v>393</v>
      </c>
      <c r="AD191" s="34"/>
      <c r="AE191" s="33">
        <f t="shared" si="25"/>
        <v>43726</v>
      </c>
      <c r="AF191" s="33">
        <f t="shared" si="26"/>
        <v>43770.5</v>
      </c>
      <c r="AG191" s="33">
        <f t="shared" si="27"/>
        <v>43787</v>
      </c>
      <c r="AH191">
        <v>236</v>
      </c>
      <c r="AK191" s="36" t="str">
        <f t="shared" si="28"/>
        <v/>
      </c>
      <c r="AL191" t="str">
        <f t="shared" si="32"/>
        <v/>
      </c>
      <c r="AM191" t="s">
        <v>393</v>
      </c>
      <c r="AN191">
        <f t="shared" si="29"/>
        <v>61</v>
      </c>
      <c r="AO191" t="str">
        <f t="shared" si="30"/>
        <v>18.9.---1.11.---18.11.</v>
      </c>
      <c r="AP191" t="str">
        <f t="shared" si="31"/>
        <v>Tiiralokki</v>
      </c>
      <c r="AQ191" t="str">
        <f t="shared" si="33"/>
        <v>(18.9.---1.11.---18.11.)</v>
      </c>
    </row>
    <row r="192" spans="1:43" x14ac:dyDescent="0.2">
      <c r="A192" s="1"/>
      <c r="B192" s="9">
        <f t="shared" si="35"/>
        <v>187</v>
      </c>
      <c r="C192" s="10"/>
      <c r="D192" s="9" t="s">
        <v>185</v>
      </c>
      <c r="E192" s="10"/>
      <c r="F192" s="11"/>
      <c r="G192" s="12"/>
      <c r="H192" s="11"/>
      <c r="I192" s="12">
        <v>43750</v>
      </c>
      <c r="J192" s="11"/>
      <c r="K192" s="12"/>
      <c r="L192" s="11">
        <v>43767</v>
      </c>
      <c r="M192" s="12"/>
      <c r="N192" s="11">
        <v>43594</v>
      </c>
      <c r="O192" s="12">
        <v>43752</v>
      </c>
      <c r="P192" s="11">
        <v>43749</v>
      </c>
      <c r="Q192" s="12"/>
      <c r="R192" s="11">
        <f>IF(AG1,DATE(2019,1,8),DATE(2019,11,4))</f>
        <v>43773</v>
      </c>
      <c r="S192" s="12"/>
      <c r="T192" s="11">
        <v>43773</v>
      </c>
      <c r="U192" s="12">
        <v>43608</v>
      </c>
      <c r="V192" s="11"/>
      <c r="W192" s="12">
        <v>43760</v>
      </c>
      <c r="X192" s="11">
        <v>43576</v>
      </c>
      <c r="Y192" s="12">
        <v>43607</v>
      </c>
      <c r="Z192" s="11">
        <v>43777</v>
      </c>
      <c r="AA192" s="12">
        <v>43768</v>
      </c>
      <c r="AB192" s="11">
        <v>43763</v>
      </c>
      <c r="AC192" s="12">
        <f>IF(AG1,DATE(2019,1,23),DATE(2019,10,12))</f>
        <v>43750</v>
      </c>
      <c r="AD192" s="34"/>
      <c r="AE192" s="33">
        <f t="shared" si="25"/>
        <v>43576</v>
      </c>
      <c r="AF192" s="33">
        <f t="shared" si="26"/>
        <v>43752</v>
      </c>
      <c r="AG192" s="33">
        <f t="shared" si="27"/>
        <v>43777</v>
      </c>
      <c r="AH192">
        <v>237</v>
      </c>
      <c r="AK192" s="36" t="str">
        <f t="shared" si="28"/>
        <v/>
      </c>
      <c r="AL192" t="str">
        <f t="shared" si="32"/>
        <v/>
      </c>
      <c r="AM192">
        <v>1</v>
      </c>
      <c r="AN192">
        <f t="shared" si="29"/>
        <v>201</v>
      </c>
      <c r="AO192" t="str">
        <f t="shared" si="30"/>
        <v>21.4.---14.10.---8.11.</v>
      </c>
      <c r="AP192" t="str">
        <f t="shared" si="31"/>
        <v>Pikkukajava</v>
      </c>
      <c r="AQ192" t="str">
        <f t="shared" si="33"/>
        <v>(21.4.---14.10.---8.11., 1/21)</v>
      </c>
    </row>
    <row r="193" spans="1:43" x14ac:dyDescent="0.2">
      <c r="A193" s="1"/>
      <c r="B193" s="9">
        <f t="shared" si="35"/>
        <v>188</v>
      </c>
      <c r="C193" s="10"/>
      <c r="D193" s="9" t="s">
        <v>186</v>
      </c>
      <c r="E193" s="10"/>
      <c r="F193" s="11">
        <v>43561</v>
      </c>
      <c r="G193" s="12">
        <f>IF(AG1,DATE(2019,1,1),DATE(2019,4,5))</f>
        <v>43560</v>
      </c>
      <c r="H193" s="11">
        <v>43553</v>
      </c>
      <c r="I193" s="12">
        <v>43567</v>
      </c>
      <c r="J193" s="11">
        <v>43557</v>
      </c>
      <c r="K193" s="12">
        <v>43557</v>
      </c>
      <c r="L193" s="11">
        <v>43562</v>
      </c>
      <c r="M193" s="12">
        <f>IF(AG1,DATE(2019,1,6),DATE(2019,3,26))</f>
        <v>43550</v>
      </c>
      <c r="N193" s="11">
        <v>43555</v>
      </c>
      <c r="O193" s="12">
        <v>43561</v>
      </c>
      <c r="P193" s="11">
        <v>43558</v>
      </c>
      <c r="Q193" s="12">
        <v>43560</v>
      </c>
      <c r="R193" s="11">
        <f>IF(AG1,DATE(2019,1,1),DATE(2019,3,17))</f>
        <v>43541</v>
      </c>
      <c r="S193" s="12">
        <v>43559</v>
      </c>
      <c r="T193" s="11">
        <v>43530</v>
      </c>
      <c r="U193" s="12">
        <v>43539</v>
      </c>
      <c r="V193" s="11">
        <v>43551</v>
      </c>
      <c r="W193" s="12">
        <v>43559</v>
      </c>
      <c r="X193" s="11">
        <v>43564</v>
      </c>
      <c r="Y193" s="12">
        <v>43557</v>
      </c>
      <c r="Z193" s="11">
        <v>43550</v>
      </c>
      <c r="AA193" s="12">
        <f>IF(AG1,DATE(2019,1,2),DATE(2019,3,30))</f>
        <v>43554</v>
      </c>
      <c r="AB193" s="11">
        <v>43564</v>
      </c>
      <c r="AC193" s="12">
        <v>43562</v>
      </c>
      <c r="AD193" s="34"/>
      <c r="AE193" s="33">
        <f t="shared" si="25"/>
        <v>43530</v>
      </c>
      <c r="AF193" s="33">
        <f t="shared" si="26"/>
        <v>43557.5</v>
      </c>
      <c r="AG193" s="33">
        <f t="shared" si="27"/>
        <v>43567</v>
      </c>
      <c r="AH193">
        <v>239</v>
      </c>
      <c r="AK193" s="36" t="str">
        <f t="shared" si="28"/>
        <v/>
      </c>
      <c r="AL193" t="str">
        <f t="shared" si="32"/>
        <v/>
      </c>
      <c r="AM193">
        <v>3</v>
      </c>
      <c r="AN193">
        <f t="shared" si="29"/>
        <v>37</v>
      </c>
      <c r="AO193" t="str">
        <f t="shared" si="30"/>
        <v>6.3.---2.4.---12.4.</v>
      </c>
      <c r="AP193" t="str">
        <f t="shared" si="31"/>
        <v>Naurulokki</v>
      </c>
      <c r="AQ193" t="str">
        <f t="shared" si="33"/>
        <v>(6.3.---2.4.---12.4., 3/21)</v>
      </c>
    </row>
    <row r="194" spans="1:43" x14ac:dyDescent="0.2">
      <c r="A194" s="1"/>
      <c r="B194" s="9">
        <f t="shared" si="35"/>
        <v>189</v>
      </c>
      <c r="C194" s="10"/>
      <c r="D194" s="15" t="s">
        <v>187</v>
      </c>
      <c r="E194" s="16"/>
      <c r="F194" s="11"/>
      <c r="G194" s="12"/>
      <c r="H194" s="11"/>
      <c r="I194" s="12"/>
      <c r="J194" s="11"/>
      <c r="K194" s="12"/>
      <c r="L194" s="11"/>
      <c r="M194" s="12"/>
      <c r="N194" s="11"/>
      <c r="O194" s="12"/>
      <c r="P194" s="11"/>
      <c r="Q194" s="12"/>
      <c r="R194" s="11"/>
      <c r="S194" s="12"/>
      <c r="T194" s="11"/>
      <c r="U194" s="12"/>
      <c r="V194" s="11"/>
      <c r="W194" s="12"/>
      <c r="X194" s="11"/>
      <c r="Y194" s="12"/>
      <c r="Z194" s="11"/>
      <c r="AA194" s="12"/>
      <c r="AB194" s="11"/>
      <c r="AC194" s="12" t="s">
        <v>393</v>
      </c>
      <c r="AD194" s="34"/>
      <c r="AE194" s="33" t="str">
        <f t="shared" si="25"/>
        <v/>
      </c>
      <c r="AF194" s="33" t="str">
        <f t="shared" si="26"/>
        <v/>
      </c>
      <c r="AG194" s="33" t="str">
        <f t="shared" si="27"/>
        <v/>
      </c>
      <c r="AH194">
        <v>241</v>
      </c>
      <c r="AK194" s="36" t="str">
        <f t="shared" si="28"/>
        <v/>
      </c>
      <c r="AL194" t="str">
        <f t="shared" si="32"/>
        <v/>
      </c>
      <c r="AM194" t="s">
        <v>393</v>
      </c>
      <c r="AN194" t="e">
        <f t="shared" si="29"/>
        <v>#VALUE!</v>
      </c>
      <c r="AO194" t="str">
        <f t="shared" si="30"/>
        <v>------</v>
      </c>
      <c r="AP194" t="str">
        <f t="shared" si="31"/>
        <v>Preerianaurulokki</v>
      </c>
      <c r="AQ194" t="str">
        <f t="shared" si="33"/>
        <v>(------)</v>
      </c>
    </row>
    <row r="195" spans="1:43" x14ac:dyDescent="0.2">
      <c r="A195" s="1"/>
      <c r="B195" s="9">
        <f t="shared" si="35"/>
        <v>190</v>
      </c>
      <c r="C195" s="10"/>
      <c r="D195" s="19" t="s">
        <v>188</v>
      </c>
      <c r="E195" s="10"/>
      <c r="F195" s="11"/>
      <c r="G195" s="12"/>
      <c r="H195" s="11"/>
      <c r="I195" s="12"/>
      <c r="J195" s="11"/>
      <c r="K195" s="12"/>
      <c r="L195" s="11"/>
      <c r="M195" s="12"/>
      <c r="N195" s="11"/>
      <c r="O195" s="12"/>
      <c r="P195" s="11"/>
      <c r="Q195" s="12">
        <v>43760</v>
      </c>
      <c r="R195" s="11"/>
      <c r="S195" s="12"/>
      <c r="T195" s="11"/>
      <c r="U195" s="12"/>
      <c r="V195" s="11"/>
      <c r="W195" s="12"/>
      <c r="X195" s="11"/>
      <c r="Y195" s="12"/>
      <c r="Z195" s="11"/>
      <c r="AA195" s="12"/>
      <c r="AB195" s="11"/>
      <c r="AC195" s="12" t="s">
        <v>393</v>
      </c>
      <c r="AD195" s="34"/>
      <c r="AE195" s="33">
        <f t="shared" si="25"/>
        <v>43760</v>
      </c>
      <c r="AF195" s="33">
        <f t="shared" si="26"/>
        <v>43760</v>
      </c>
      <c r="AG195" s="33">
        <f t="shared" si="27"/>
        <v>43760</v>
      </c>
      <c r="AH195">
        <v>242</v>
      </c>
      <c r="AK195" s="36" t="str">
        <f t="shared" si="28"/>
        <v/>
      </c>
      <c r="AL195" t="str">
        <f t="shared" si="32"/>
        <v/>
      </c>
      <c r="AM195" t="s">
        <v>393</v>
      </c>
      <c r="AN195">
        <f t="shared" si="29"/>
        <v>0</v>
      </c>
      <c r="AO195" t="str">
        <f t="shared" si="30"/>
        <v>22.10.---22.10.---22.10.</v>
      </c>
      <c r="AP195" t="str">
        <f t="shared" si="31"/>
        <v>Välimerenlokki</v>
      </c>
      <c r="AQ195" t="str">
        <f t="shared" si="33"/>
        <v>(22.10.---22.10.---22.10.)</v>
      </c>
    </row>
    <row r="196" spans="1:43" x14ac:dyDescent="0.2">
      <c r="A196" s="1"/>
      <c r="B196" s="9">
        <f t="shared" si="35"/>
        <v>191</v>
      </c>
      <c r="C196" s="10"/>
      <c r="D196" s="15" t="s">
        <v>189</v>
      </c>
      <c r="E196" s="16"/>
      <c r="F196" s="11"/>
      <c r="G196" s="12"/>
      <c r="H196" s="11"/>
      <c r="I196" s="12"/>
      <c r="J196" s="11"/>
      <c r="K196" s="12"/>
      <c r="L196" s="11"/>
      <c r="M196" s="12"/>
      <c r="N196" s="11"/>
      <c r="O196" s="12"/>
      <c r="P196" s="11"/>
      <c r="Q196" s="12"/>
      <c r="R196" s="11">
        <v>43473</v>
      </c>
      <c r="S196" s="12"/>
      <c r="T196" s="11"/>
      <c r="U196" s="12"/>
      <c r="V196" s="11"/>
      <c r="W196" s="12"/>
      <c r="X196" s="11"/>
      <c r="Y196" s="12"/>
      <c r="Z196" s="11"/>
      <c r="AA196" s="12"/>
      <c r="AB196" s="11"/>
      <c r="AC196" s="12" t="s">
        <v>393</v>
      </c>
      <c r="AD196" s="34"/>
      <c r="AE196" s="33">
        <f t="shared" ref="AE196:AE260" si="36">IF(SUM(F196:AC196)&gt;0,MIN(F196:AC196),"")</f>
        <v>43473</v>
      </c>
      <c r="AF196" s="33">
        <f t="shared" ref="AF196:AF260" si="37">IF(SUM(F196:AC196)&gt;0,MEDIAN(F196:AC196),"")</f>
        <v>43473</v>
      </c>
      <c r="AG196" s="33">
        <f t="shared" ref="AG196:AG260" si="38">IF(SUM(F196:AC196)&gt;0,MAX(F196:AC196),"")</f>
        <v>43473</v>
      </c>
      <c r="AH196">
        <v>243</v>
      </c>
      <c r="AK196" s="36" t="str">
        <f t="shared" ref="AK196:AK260" si="39">IF(AI196&lt;&gt;"",D196 &amp; "x" &amp; TEXT(AE196, "pp.kk.")  &amp; "2019x" &amp; TEXT(Z196, "pp.kk.") &amp; "2019","")</f>
        <v/>
      </c>
      <c r="AL196">
        <f t="shared" si="32"/>
        <v>1</v>
      </c>
      <c r="AM196">
        <v>1</v>
      </c>
      <c r="AN196">
        <f t="shared" ref="AN196:AN260" si="40">AG196-AE196</f>
        <v>0</v>
      </c>
      <c r="AO196" t="str">
        <f t="shared" ref="AO196:AO259" si="41">TEXT(AE196, "p.k.")  &amp; "---" &amp; TEXT(AF196, "p.k.")  &amp; "---" &amp; TEXT(AG196, "p.k.")</f>
        <v>8.1.---8.1.---8.1.</v>
      </c>
      <c r="AP196" t="str">
        <f t="shared" ref="AP196:AP260" si="42">D196</f>
        <v>Mustanmerenlokki</v>
      </c>
      <c r="AQ196" t="str">
        <f t="shared" si="33"/>
        <v>(8.1.---8.1.---8.1., 1/21)</v>
      </c>
    </row>
    <row r="197" spans="1:43" x14ac:dyDescent="0.2">
      <c r="A197" s="1"/>
      <c r="B197" s="9">
        <f t="shared" si="35"/>
        <v>192</v>
      </c>
      <c r="D197" s="9" t="s">
        <v>190</v>
      </c>
      <c r="F197" s="20">
        <f>IF(AG1,DATE(2019,1,9),DATE(2019,4,13))</f>
        <v>43568</v>
      </c>
      <c r="G197" s="21">
        <f>IF(AG1,DATE(2019,1,1),DATE(2019,4,7))</f>
        <v>43562</v>
      </c>
      <c r="H197" s="20">
        <f>IF(AG1,DATE(2019,1,1),DATE(2019,4,8))</f>
        <v>43563</v>
      </c>
      <c r="I197" s="21">
        <f>IF(AG1,DATE(2019,2,8),DATE(2019,3,16))</f>
        <v>43540</v>
      </c>
      <c r="J197" s="20">
        <f>IF(AG1,DATE(2019,1,1),DATE(2019,3,18))</f>
        <v>43542</v>
      </c>
      <c r="K197" s="21">
        <f>IF(AG1,DATE(2019,1,1),DATE(2019,3,31))</f>
        <v>43555</v>
      </c>
      <c r="L197" s="20">
        <f>IF(AG1,DATE(2019,1,2),DATE(2019,4,10))</f>
        <v>43565</v>
      </c>
      <c r="M197" s="21">
        <f>IF(AG1,DATE(2019,1,1),DATE(2019,3,2))</f>
        <v>43526</v>
      </c>
      <c r="N197" s="20">
        <f>IF(AG1,DATE(2019,1,1),DATE(2019,3,31))</f>
        <v>43555</v>
      </c>
      <c r="O197" s="21">
        <f>IF(AG1,DATE(2019,1,1),DATE(2019,4,9))</f>
        <v>43564</v>
      </c>
      <c r="P197" s="20">
        <f>IF(AG1,DATE(2019,1,1),DATE(2019,4,4))</f>
        <v>43559</v>
      </c>
      <c r="Q197" s="12">
        <f>IF(AG1,DATE(2019,1,11),DATE(2019,3,29))</f>
        <v>43553</v>
      </c>
      <c r="R197" s="11">
        <f>IF(AG1,DATE(2019,1,1),DATE(2019,4,11))</f>
        <v>43566</v>
      </c>
      <c r="S197" s="12">
        <f>IF(AG1,DATE(2019,1,1),DATE(2019,3,23))</f>
        <v>43547</v>
      </c>
      <c r="T197" s="11">
        <f>IF(AG1,DATE(2019,1,1),DATE(2019,3,9))</f>
        <v>43533</v>
      </c>
      <c r="U197" s="12">
        <f>IF(AG1,DATE(2019,1,1),DATE(2019,4,1))</f>
        <v>43556</v>
      </c>
      <c r="V197" s="11">
        <f>IF(AG1,DATE(2019,1,1),DATE(2019,3,27))</f>
        <v>43551</v>
      </c>
      <c r="W197" s="12">
        <f>IF(AG1,DATE(2019,1,1),DATE(2019,4,4))</f>
        <v>43559</v>
      </c>
      <c r="X197" s="11">
        <f>IF(AG1,DATE(2019,1,1),DATE(2019,3,31))</f>
        <v>43555</v>
      </c>
      <c r="Y197" s="12">
        <f>IF(AG1,DATE(2019,1,1),DATE(2019,3,19))</f>
        <v>43543</v>
      </c>
      <c r="Z197" s="11">
        <f>IF(AG1,DATE(2019,1,1),DATE(2019,3,27))</f>
        <v>43551</v>
      </c>
      <c r="AA197" s="12">
        <f>IF(AG1,DATE(2019,1,1),DATE(2019,3,25))</f>
        <v>43549</v>
      </c>
      <c r="AB197" s="11">
        <f>IF(AF1,DATE(2019,1,1),DATE(2019,3,16))</f>
        <v>43540</v>
      </c>
      <c r="AC197" s="12">
        <f>IF(AG1,DATE(2019,1,1),DATE(2019,4,8))</f>
        <v>43563</v>
      </c>
      <c r="AD197" s="34"/>
      <c r="AE197" s="33">
        <f t="shared" si="36"/>
        <v>43526</v>
      </c>
      <c r="AF197" s="33">
        <f t="shared" si="37"/>
        <v>43555</v>
      </c>
      <c r="AG197" s="33">
        <f t="shared" si="38"/>
        <v>43568</v>
      </c>
      <c r="AH197">
        <v>244</v>
      </c>
      <c r="AK197" s="36" t="str">
        <f t="shared" si="39"/>
        <v/>
      </c>
      <c r="AL197" t="str">
        <f t="shared" ref="AL197:AL260" si="43">IF(COUNTIF(F197:Z197,"&lt;01.03.2019")&gt;0,COUNTIF(F197:Z197,"&lt;01.03.2019"),"")</f>
        <v/>
      </c>
      <c r="AM197">
        <v>21</v>
      </c>
      <c r="AN197">
        <f t="shared" si="40"/>
        <v>42</v>
      </c>
      <c r="AO197" t="str">
        <f t="shared" si="41"/>
        <v>2.3.---31.3.---13.4.</v>
      </c>
      <c r="AP197" t="str">
        <f t="shared" si="42"/>
        <v>Kalalokki</v>
      </c>
      <c r="AQ197" t="str">
        <f t="shared" ref="AQ197:AQ260" si="44">IF(AND(AM197&gt;0,AM197&lt;&gt;""),"(" &amp;AO197 &amp; ", " &amp; AM197 &amp; "/21)","(" &amp; AO197 &amp; ")")</f>
        <v>(2.3.---31.3.---13.4., 21/21)</v>
      </c>
    </row>
    <row r="198" spans="1:43" x14ac:dyDescent="0.2">
      <c r="A198" s="1"/>
      <c r="B198" s="9">
        <f t="shared" si="35"/>
        <v>193</v>
      </c>
      <c r="C198" s="10"/>
      <c r="D198" s="9" t="s">
        <v>191</v>
      </c>
      <c r="E198" s="10"/>
      <c r="F198" s="11">
        <v>43570</v>
      </c>
      <c r="G198" s="12">
        <v>43562</v>
      </c>
      <c r="H198" s="11">
        <v>43566</v>
      </c>
      <c r="I198" s="12">
        <v>43570</v>
      </c>
      <c r="J198" s="11">
        <v>43555</v>
      </c>
      <c r="K198" s="12">
        <v>43551</v>
      </c>
      <c r="L198" s="11">
        <v>43561</v>
      </c>
      <c r="M198" s="12">
        <v>43549</v>
      </c>
      <c r="N198" s="11">
        <v>43555</v>
      </c>
      <c r="O198" s="12">
        <v>43555</v>
      </c>
      <c r="P198" s="11">
        <v>43562</v>
      </c>
      <c r="Q198" s="12">
        <v>43562</v>
      </c>
      <c r="R198" s="11">
        <f>IF(AG1,DATE(2019,1,2),DATE(2019,3,29))</f>
        <v>43553</v>
      </c>
      <c r="S198" s="12">
        <v>43566</v>
      </c>
      <c r="T198" s="11">
        <v>43551</v>
      </c>
      <c r="U198" s="12">
        <v>43542</v>
      </c>
      <c r="V198" s="11">
        <v>43552</v>
      </c>
      <c r="W198" s="12">
        <v>43561</v>
      </c>
      <c r="X198" s="11">
        <v>43569</v>
      </c>
      <c r="Y198" s="12">
        <v>43562</v>
      </c>
      <c r="Z198" s="11">
        <v>43551</v>
      </c>
      <c r="AA198" s="12">
        <v>43566</v>
      </c>
      <c r="AB198" s="11">
        <v>43545</v>
      </c>
      <c r="AC198" s="12">
        <v>43566</v>
      </c>
      <c r="AD198" s="34"/>
      <c r="AE198" s="33">
        <f t="shared" si="36"/>
        <v>43542</v>
      </c>
      <c r="AF198" s="33">
        <f t="shared" si="37"/>
        <v>43561</v>
      </c>
      <c r="AG198" s="33">
        <f t="shared" si="38"/>
        <v>43570</v>
      </c>
      <c r="AH198">
        <v>245</v>
      </c>
      <c r="AK198" s="36" t="str">
        <f t="shared" si="39"/>
        <v/>
      </c>
      <c r="AL198" t="str">
        <f t="shared" si="43"/>
        <v/>
      </c>
      <c r="AM198">
        <v>1</v>
      </c>
      <c r="AN198">
        <f t="shared" si="40"/>
        <v>28</v>
      </c>
      <c r="AO198" t="str">
        <f t="shared" si="41"/>
        <v>18.3.---6.4.---15.4.</v>
      </c>
      <c r="AP198" t="str">
        <f t="shared" si="42"/>
        <v>Selkälokki</v>
      </c>
      <c r="AQ198" t="str">
        <f t="shared" si="44"/>
        <v>(18.3.---6.4.---15.4., 1/21)</v>
      </c>
    </row>
    <row r="199" spans="1:43" x14ac:dyDescent="0.2">
      <c r="A199" s="1"/>
      <c r="B199" s="9">
        <f t="shared" si="35"/>
        <v>194</v>
      </c>
      <c r="C199" s="10"/>
      <c r="D199" s="9" t="s">
        <v>192</v>
      </c>
      <c r="E199" s="10"/>
      <c r="F199" s="11">
        <f>IF(AG1,DATE(2019,1,1),DATE(2019,2,12))</f>
        <v>43508</v>
      </c>
      <c r="G199" s="12">
        <f>IF(AG1,DATE(2019,1,2),DATE(2019,3,28))</f>
        <v>43552</v>
      </c>
      <c r="H199" s="11">
        <f>IF(AG1,DATE(2019,1,5),DATE(2019,2,9))</f>
        <v>43505</v>
      </c>
      <c r="I199" s="12">
        <f>IF(AG1,DATE(2019,1,1),DATE(2019,3,8))</f>
        <v>43532</v>
      </c>
      <c r="J199" s="11">
        <f>IF(AG1,DATE(2019,1,1),DATE(2019,3,7))</f>
        <v>43531</v>
      </c>
      <c r="K199" s="12">
        <f>IF(AG1,DATE(2019,1,1),DATE(2019,3,6))</f>
        <v>43530</v>
      </c>
      <c r="L199" s="11">
        <f>IF(AG1,DATE(2019,1,1),DATE(2019,3,20))</f>
        <v>43544</v>
      </c>
      <c r="M199" s="12">
        <f>IF(AG1,DATE(2019,1,1),DATE(2019,3,3))</f>
        <v>43527</v>
      </c>
      <c r="N199" s="11">
        <f>IF(AG1,DATE(2019,1,1),DATE(2019,3,10))</f>
        <v>43534</v>
      </c>
      <c r="O199" s="12">
        <f>IF(AG1,DATE(2019,1,1),DATE(2019,3,3))</f>
        <v>43527</v>
      </c>
      <c r="P199" s="11">
        <f>IF(AG1,DATE(2019,1,2),DATE(2019,3,16))</f>
        <v>43540</v>
      </c>
      <c r="Q199" s="12">
        <f>IF(AG1,DATE(2019,1,9),DATE(2019,3,3))</f>
        <v>43527</v>
      </c>
      <c r="R199" s="11">
        <f>IF(AG1,DATE(2019,1,1),DATE(2019,3,1))</f>
        <v>43525</v>
      </c>
      <c r="S199" s="12">
        <v>43466</v>
      </c>
      <c r="T199" s="11">
        <f>IF(AG1,DATE(2019,1,1),DATE(2019,2,26))</f>
        <v>43522</v>
      </c>
      <c r="U199" s="12">
        <f>IF(AG1,DATE(2019,1,1),DATE(2019,2,20))</f>
        <v>43516</v>
      </c>
      <c r="V199" s="11">
        <v>43466</v>
      </c>
      <c r="W199" s="12">
        <f>IF(AG1,DATE(2019,1,1),DATE(2019,3,16))</f>
        <v>43540</v>
      </c>
      <c r="X199" s="11">
        <f>IF(AG1,DATE(2019,1,1),DATE(2019,3,27))</f>
        <v>43551</v>
      </c>
      <c r="Y199" s="12">
        <v>43466</v>
      </c>
      <c r="Z199" s="11">
        <v>43466</v>
      </c>
      <c r="AA199" s="12">
        <v>43466</v>
      </c>
      <c r="AB199" s="11">
        <v>43466</v>
      </c>
      <c r="AC199" s="12">
        <v>43466</v>
      </c>
      <c r="AD199" s="34"/>
      <c r="AE199" s="33">
        <f t="shared" si="36"/>
        <v>43466</v>
      </c>
      <c r="AF199" s="33">
        <f t="shared" si="37"/>
        <v>43526</v>
      </c>
      <c r="AG199" s="33">
        <f t="shared" si="38"/>
        <v>43552</v>
      </c>
      <c r="AH199">
        <v>246</v>
      </c>
      <c r="AK199" s="36" t="str">
        <f t="shared" si="39"/>
        <v/>
      </c>
      <c r="AL199">
        <f t="shared" si="43"/>
        <v>8</v>
      </c>
      <c r="AM199">
        <v>21</v>
      </c>
      <c r="AN199">
        <f t="shared" si="40"/>
        <v>86</v>
      </c>
      <c r="AO199" t="str">
        <f t="shared" si="41"/>
        <v>1.1.---2.3.---28.3.</v>
      </c>
      <c r="AP199" t="str">
        <f t="shared" si="42"/>
        <v>Harmaalokki</v>
      </c>
      <c r="AQ199" t="str">
        <f t="shared" si="44"/>
        <v>(1.1.---2.3.---28.3., 21/21)</v>
      </c>
    </row>
    <row r="200" spans="1:43" x14ac:dyDescent="0.2">
      <c r="A200" s="1"/>
      <c r="B200" s="9">
        <f t="shared" si="35"/>
        <v>195</v>
      </c>
      <c r="C200" s="10"/>
      <c r="D200" s="15" t="s">
        <v>193</v>
      </c>
      <c r="E200" s="16"/>
      <c r="F200" s="11"/>
      <c r="G200" s="12"/>
      <c r="H200" s="11"/>
      <c r="I200" s="12">
        <v>43757</v>
      </c>
      <c r="J200" s="11">
        <v>43619</v>
      </c>
      <c r="K200" s="12">
        <v>43713</v>
      </c>
      <c r="L200" s="11"/>
      <c r="M200" s="12"/>
      <c r="N200" s="11"/>
      <c r="O200" s="12"/>
      <c r="P200" s="11"/>
      <c r="Q200" s="12"/>
      <c r="R200" s="11"/>
      <c r="S200" s="12"/>
      <c r="T200" s="11"/>
      <c r="U200" s="12"/>
      <c r="V200" s="11"/>
      <c r="W200" s="12"/>
      <c r="X200" s="11"/>
      <c r="Y200" s="12"/>
      <c r="Z200" s="11"/>
      <c r="AA200" s="12"/>
      <c r="AB200" s="11"/>
      <c r="AC200" s="12" t="s">
        <v>393</v>
      </c>
      <c r="AD200" s="34"/>
      <c r="AE200" s="33">
        <f t="shared" ref="AE200" si="45">IF(SUM(F200:AC200)&gt;0,MIN(F200:AC200),"")</f>
        <v>43619</v>
      </c>
      <c r="AF200" s="33">
        <f t="shared" ref="AF200" si="46">IF(SUM(F200:AC200)&gt;0,MEDIAN(F200:AC200),"")</f>
        <v>43713</v>
      </c>
      <c r="AG200" s="33">
        <f t="shared" ref="AG200" si="47">IF(SUM(F200:AC200)&gt;0,MAX(F200:AC200),"")</f>
        <v>43757</v>
      </c>
      <c r="AH200">
        <v>247</v>
      </c>
      <c r="AK200" s="36" t="str">
        <f t="shared" ref="AK200" si="48">IF(AI200&lt;&gt;"",D200 &amp; "x" &amp; TEXT(AE200, "pp.kk.")  &amp; "2019x" &amp; TEXT(Z200, "pp.kk.") &amp; "2019","")</f>
        <v/>
      </c>
      <c r="AL200" t="str">
        <f t="shared" si="43"/>
        <v/>
      </c>
      <c r="AM200" t="s">
        <v>393</v>
      </c>
      <c r="AN200">
        <f t="shared" ref="AN200" si="49">AG200-AE200</f>
        <v>138</v>
      </c>
      <c r="AO200" t="str">
        <f t="shared" si="41"/>
        <v>3.6.---5.9.---19.10.</v>
      </c>
      <c r="AP200" t="str">
        <f t="shared" ref="AP200" si="50">D200</f>
        <v>Aroharmaalokki</v>
      </c>
      <c r="AQ200" t="str">
        <f t="shared" si="44"/>
        <v>(3.6.---5.9.---19.10.)</v>
      </c>
    </row>
    <row r="201" spans="1:43" x14ac:dyDescent="0.2">
      <c r="A201" s="1"/>
      <c r="B201" s="9">
        <f t="shared" si="35"/>
        <v>196</v>
      </c>
      <c r="C201" s="10"/>
      <c r="D201" s="15" t="s">
        <v>397</v>
      </c>
      <c r="E201" s="16"/>
      <c r="F201" s="11"/>
      <c r="G201" s="12"/>
      <c r="H201" s="11"/>
      <c r="I201" s="12"/>
      <c r="J201" s="11"/>
      <c r="K201" s="12"/>
      <c r="L201" s="11"/>
      <c r="M201" s="12"/>
      <c r="N201" s="11"/>
      <c r="O201" s="12"/>
      <c r="P201" s="11"/>
      <c r="Q201" s="12"/>
      <c r="R201" s="11"/>
      <c r="S201" s="12"/>
      <c r="T201" s="11"/>
      <c r="U201" s="12"/>
      <c r="V201" s="11"/>
      <c r="W201" s="12"/>
      <c r="X201" s="11"/>
      <c r="Y201" s="12"/>
      <c r="Z201" s="11"/>
      <c r="AA201" s="12"/>
      <c r="AB201" s="11"/>
      <c r="AC201" s="12">
        <v>43596</v>
      </c>
      <c r="AD201" s="34"/>
      <c r="AE201" s="33">
        <f t="shared" si="36"/>
        <v>43596</v>
      </c>
      <c r="AF201" s="33">
        <f t="shared" si="37"/>
        <v>43596</v>
      </c>
      <c r="AG201" s="33">
        <f t="shared" si="38"/>
        <v>43596</v>
      </c>
      <c r="AH201">
        <v>248</v>
      </c>
      <c r="AI201" s="47"/>
      <c r="AK201" s="36" t="str">
        <f t="shared" si="39"/>
        <v/>
      </c>
      <c r="AL201" t="str">
        <f t="shared" si="43"/>
        <v/>
      </c>
      <c r="AM201" t="s">
        <v>393</v>
      </c>
      <c r="AN201">
        <f t="shared" si="40"/>
        <v>0</v>
      </c>
      <c r="AO201" t="str">
        <f t="shared" si="41"/>
        <v>11.5.---11.5.---11.5.</v>
      </c>
      <c r="AP201" t="str">
        <f t="shared" si="42"/>
        <v>Etelänharmaalokki</v>
      </c>
      <c r="AQ201" t="str">
        <f t="shared" si="44"/>
        <v>(11.5.---11.5.---11.5.)</v>
      </c>
    </row>
    <row r="202" spans="1:43" x14ac:dyDescent="0.2">
      <c r="A202" s="1"/>
      <c r="B202" s="9">
        <f t="shared" si="35"/>
        <v>197</v>
      </c>
      <c r="C202" s="10"/>
      <c r="D202" s="15" t="s">
        <v>194</v>
      </c>
      <c r="E202" s="16"/>
      <c r="F202" s="11"/>
      <c r="G202" s="12"/>
      <c r="H202" s="11"/>
      <c r="I202" s="12"/>
      <c r="J202" s="11"/>
      <c r="K202" s="12">
        <v>43591</v>
      </c>
      <c r="L202" s="11"/>
      <c r="M202" s="12"/>
      <c r="N202" s="11"/>
      <c r="O202" s="12"/>
      <c r="P202" s="11"/>
      <c r="Q202" s="12"/>
      <c r="R202" s="11"/>
      <c r="S202" s="12">
        <v>43603</v>
      </c>
      <c r="T202" s="11">
        <v>43766</v>
      </c>
      <c r="U202" s="12"/>
      <c r="V202" s="11"/>
      <c r="W202" s="12"/>
      <c r="X202" s="11"/>
      <c r="Y202" s="12"/>
      <c r="Z202" s="11">
        <v>43792</v>
      </c>
      <c r="AA202" s="12"/>
      <c r="AB202" s="11"/>
      <c r="AC202" s="12" t="s">
        <v>393</v>
      </c>
      <c r="AD202" s="34"/>
      <c r="AE202" s="33">
        <f t="shared" si="36"/>
        <v>43591</v>
      </c>
      <c r="AF202" s="33">
        <f t="shared" si="37"/>
        <v>43684.5</v>
      </c>
      <c r="AG202" s="33">
        <f t="shared" si="38"/>
        <v>43792</v>
      </c>
      <c r="AH202">
        <v>250</v>
      </c>
      <c r="AK202" s="36" t="str">
        <f t="shared" si="39"/>
        <v/>
      </c>
      <c r="AL202" t="str">
        <f t="shared" si="43"/>
        <v/>
      </c>
      <c r="AM202" t="s">
        <v>393</v>
      </c>
      <c r="AN202">
        <f t="shared" si="40"/>
        <v>201</v>
      </c>
      <c r="AO202" t="str">
        <f t="shared" si="41"/>
        <v>6.5.---7.8.---23.11.</v>
      </c>
      <c r="AP202" t="str">
        <f t="shared" si="42"/>
        <v>Grönlanninlokki</v>
      </c>
      <c r="AQ202" t="str">
        <f t="shared" si="44"/>
        <v>(6.5.---7.8.---23.11.)</v>
      </c>
    </row>
    <row r="203" spans="1:43" x14ac:dyDescent="0.2">
      <c r="A203" s="1"/>
      <c r="B203" s="9">
        <f t="shared" si="35"/>
        <v>198</v>
      </c>
      <c r="C203" s="10"/>
      <c r="D203" s="9" t="s">
        <v>195</v>
      </c>
      <c r="E203" s="10"/>
      <c r="F203" s="11">
        <v>43491</v>
      </c>
      <c r="G203" s="12">
        <v>43481</v>
      </c>
      <c r="H203" s="11">
        <v>43477</v>
      </c>
      <c r="I203" s="12">
        <v>43490</v>
      </c>
      <c r="J203" s="11">
        <v>43472</v>
      </c>
      <c r="K203" s="12">
        <v>43466</v>
      </c>
      <c r="L203" s="11">
        <v>43468</v>
      </c>
      <c r="M203" s="12">
        <v>43466</v>
      </c>
      <c r="N203" s="11">
        <v>43490</v>
      </c>
      <c r="O203" s="12">
        <v>43466</v>
      </c>
      <c r="P203" s="11">
        <v>43555</v>
      </c>
      <c r="Q203" s="12">
        <v>43494</v>
      </c>
      <c r="R203" s="11">
        <v>43466</v>
      </c>
      <c r="S203" s="12">
        <v>43469</v>
      </c>
      <c r="T203" s="11">
        <v>43466</v>
      </c>
      <c r="U203" s="12">
        <v>43466</v>
      </c>
      <c r="V203" s="11">
        <v>43508</v>
      </c>
      <c r="W203" s="12">
        <v>43466</v>
      </c>
      <c r="X203" s="11">
        <v>43466</v>
      </c>
      <c r="Y203" s="12">
        <v>43512</v>
      </c>
      <c r="Z203" s="11">
        <v>43466</v>
      </c>
      <c r="AA203" s="12">
        <v>43468</v>
      </c>
      <c r="AB203" s="11">
        <v>43478</v>
      </c>
      <c r="AC203" s="12">
        <v>43493</v>
      </c>
      <c r="AD203" s="34"/>
      <c r="AE203" s="33">
        <f t="shared" si="36"/>
        <v>43466</v>
      </c>
      <c r="AF203" s="33">
        <f t="shared" si="37"/>
        <v>43470.5</v>
      </c>
      <c r="AG203" s="33">
        <f t="shared" si="38"/>
        <v>43555</v>
      </c>
      <c r="AH203">
        <v>251</v>
      </c>
      <c r="AK203" s="36" t="str">
        <f t="shared" si="39"/>
        <v/>
      </c>
      <c r="AL203">
        <f t="shared" si="43"/>
        <v>20</v>
      </c>
      <c r="AM203">
        <v>20</v>
      </c>
      <c r="AN203">
        <f t="shared" si="40"/>
        <v>89</v>
      </c>
      <c r="AO203" t="str">
        <f t="shared" si="41"/>
        <v>1.1.---5.1.---31.3.</v>
      </c>
      <c r="AP203" t="str">
        <f t="shared" si="42"/>
        <v>Isolokki</v>
      </c>
      <c r="AQ203" t="str">
        <f t="shared" si="44"/>
        <v>(1.1.---5.1.---31.3., 20/21)</v>
      </c>
    </row>
    <row r="204" spans="1:43" x14ac:dyDescent="0.2">
      <c r="A204" s="1"/>
      <c r="B204" s="9">
        <f t="shared" si="35"/>
        <v>199</v>
      </c>
      <c r="C204" s="10"/>
      <c r="D204" s="9" t="s">
        <v>196</v>
      </c>
      <c r="E204" s="10"/>
      <c r="F204" s="11">
        <f>IF(AG1,DATE(2019,1,3),DATE(2019,2,12))</f>
        <v>43508</v>
      </c>
      <c r="G204" s="12">
        <f>IF(AG1,DATE(2019,1,15),DATE(2019,3,9))</f>
        <v>43533</v>
      </c>
      <c r="H204" s="11">
        <v>43505</v>
      </c>
      <c r="I204" s="12">
        <f>IF(AG1,DATE(2019,1,25),DATE(2019,3,7))</f>
        <v>43531</v>
      </c>
      <c r="J204" s="11">
        <f>IF(AG1,DATE(2019,1,7),DATE(2019,3,9))</f>
        <v>43533</v>
      </c>
      <c r="K204" s="12">
        <f>IF(AG1,DATE(2019,1,1),DATE(2019,3,22))</f>
        <v>43546</v>
      </c>
      <c r="L204" s="11">
        <f>IF(AG1,DATE(2019,1,1),DATE(2019,3,5))</f>
        <v>43529</v>
      </c>
      <c r="M204" s="12">
        <f>IF(AG1,DATE(2019,1,1),DATE(2019,2,27))</f>
        <v>43523</v>
      </c>
      <c r="N204" s="11">
        <f>IF(AG1,DATE(2019,1,1),DATE(2019,3,2))</f>
        <v>43526</v>
      </c>
      <c r="O204" s="12">
        <f>IF(AG1,DATE(2019,1,1),DATE(2019,3,3))</f>
        <v>43527</v>
      </c>
      <c r="P204" s="11">
        <f>IF(AG1,DATE(2019,1,20),DATE(2019,3,10))</f>
        <v>43534</v>
      </c>
      <c r="Q204" s="12">
        <f>IF(AG1,DATE(2019,1,9),DATE(2019,3,3))</f>
        <v>43527</v>
      </c>
      <c r="R204" s="11">
        <f>IF(AG1,DATE(2019,1,1),DATE(2019,2,25))</f>
        <v>43521</v>
      </c>
      <c r="S204" s="12">
        <v>43466</v>
      </c>
      <c r="T204" s="11">
        <f>IF(AG1,DATE(2019,1,1),DATE(2019,3,5))</f>
        <v>43529</v>
      </c>
      <c r="U204" s="12">
        <f>IF(AG1,DATE(2019,1,1),DATE(2019,3,5))</f>
        <v>43529</v>
      </c>
      <c r="V204" s="11">
        <f>IF(AG1,DATE(2019,1,1),DATE(2019,3,10))</f>
        <v>43534</v>
      </c>
      <c r="W204" s="12">
        <f>IF(AG1,DATE(2019,1,1),DATE(2019,3,29))</f>
        <v>43553</v>
      </c>
      <c r="X204" s="11">
        <f>IF(AG1,DATE(2019,1,1),DATE(2019,3,10))</f>
        <v>43534</v>
      </c>
      <c r="Y204" s="12">
        <f>IF(AG1,DATE(2019,1,1),DATE(2019,3,18))</f>
        <v>43542</v>
      </c>
      <c r="Z204" s="11">
        <f>IF(AG1,DATE(2019,1,1),DATE(2019,3,13))</f>
        <v>43537</v>
      </c>
      <c r="AA204" s="12">
        <v>43466</v>
      </c>
      <c r="AB204" s="11">
        <v>43466</v>
      </c>
      <c r="AC204" s="12">
        <v>43466</v>
      </c>
      <c r="AD204" s="34"/>
      <c r="AE204" s="33">
        <f t="shared" si="36"/>
        <v>43466</v>
      </c>
      <c r="AF204" s="33">
        <f t="shared" si="37"/>
        <v>43529</v>
      </c>
      <c r="AG204" s="33">
        <f t="shared" si="38"/>
        <v>43553</v>
      </c>
      <c r="AH204">
        <v>252</v>
      </c>
      <c r="AK204" s="36" t="str">
        <f t="shared" si="39"/>
        <v/>
      </c>
      <c r="AL204">
        <f t="shared" si="43"/>
        <v>5</v>
      </c>
      <c r="AM204">
        <v>21</v>
      </c>
      <c r="AN204">
        <f t="shared" si="40"/>
        <v>87</v>
      </c>
      <c r="AO204" t="str">
        <f t="shared" si="41"/>
        <v>1.1.---5.3.---29.3.</v>
      </c>
      <c r="AP204" t="str">
        <f t="shared" si="42"/>
        <v>Merilokki</v>
      </c>
      <c r="AQ204" t="str">
        <f t="shared" si="44"/>
        <v>(1.1.---5.3.---29.3., 21/21)</v>
      </c>
    </row>
    <row r="205" spans="1:43" x14ac:dyDescent="0.2">
      <c r="A205" s="1"/>
      <c r="B205" s="9">
        <f t="shared" si="35"/>
        <v>200</v>
      </c>
      <c r="C205" s="10"/>
      <c r="D205" s="9" t="s">
        <v>197</v>
      </c>
      <c r="E205" s="10"/>
      <c r="F205" s="11"/>
      <c r="G205" s="12"/>
      <c r="H205" s="11"/>
      <c r="I205" s="12">
        <v>43466</v>
      </c>
      <c r="J205" s="11">
        <v>43466</v>
      </c>
      <c r="K205" s="12">
        <v>43466</v>
      </c>
      <c r="L205" s="11">
        <v>43466</v>
      </c>
      <c r="M205" s="12">
        <v>43466</v>
      </c>
      <c r="N205" s="11">
        <v>43466</v>
      </c>
      <c r="O205" s="12">
        <v>43466</v>
      </c>
      <c r="P205" s="11">
        <v>43466</v>
      </c>
      <c r="Q205" s="12">
        <v>43466</v>
      </c>
      <c r="R205" s="11">
        <v>43466</v>
      </c>
      <c r="S205" s="12">
        <v>43466</v>
      </c>
      <c r="T205" s="11">
        <v>43466</v>
      </c>
      <c r="U205" s="12">
        <v>43466</v>
      </c>
      <c r="V205" s="11">
        <v>43466</v>
      </c>
      <c r="W205" s="12">
        <v>43466</v>
      </c>
      <c r="X205" s="11">
        <v>43466</v>
      </c>
      <c r="Y205" s="12">
        <v>43466</v>
      </c>
      <c r="Z205" s="11">
        <v>43466</v>
      </c>
      <c r="AA205" s="12">
        <v>43466</v>
      </c>
      <c r="AB205" s="11">
        <v>43466</v>
      </c>
      <c r="AC205" s="12">
        <v>43466</v>
      </c>
      <c r="AD205" s="34"/>
      <c r="AE205" s="33">
        <f t="shared" si="36"/>
        <v>43466</v>
      </c>
      <c r="AF205" s="33">
        <f t="shared" si="37"/>
        <v>43466</v>
      </c>
      <c r="AG205" s="33">
        <f t="shared" si="38"/>
        <v>43466</v>
      </c>
      <c r="AH205">
        <v>254</v>
      </c>
      <c r="AK205" s="36" t="str">
        <f t="shared" si="39"/>
        <v/>
      </c>
      <c r="AL205">
        <f t="shared" si="43"/>
        <v>18</v>
      </c>
      <c r="AM205">
        <v>18</v>
      </c>
      <c r="AN205">
        <f t="shared" si="40"/>
        <v>0</v>
      </c>
      <c r="AO205" t="str">
        <f t="shared" si="41"/>
        <v>1.1.---1.1.---1.1.</v>
      </c>
      <c r="AP205" t="str">
        <f t="shared" si="42"/>
        <v>Kesykyyhky</v>
      </c>
      <c r="AQ205" t="str">
        <f t="shared" si="44"/>
        <v>(1.1.---1.1.---1.1., 18/21)</v>
      </c>
    </row>
    <row r="206" spans="1:43" x14ac:dyDescent="0.2">
      <c r="A206" s="1"/>
      <c r="B206" s="9">
        <f t="shared" si="35"/>
        <v>201</v>
      </c>
      <c r="C206" s="10"/>
      <c r="D206" s="9" t="s">
        <v>198</v>
      </c>
      <c r="E206" s="10"/>
      <c r="F206" s="11">
        <v>43553</v>
      </c>
      <c r="G206" s="12">
        <v>43553</v>
      </c>
      <c r="H206" s="11">
        <f>IF(AG1,DATE(2019,1,3),DATE(2019,3,16))</f>
        <v>43540</v>
      </c>
      <c r="I206" s="12">
        <v>43546</v>
      </c>
      <c r="J206" s="11">
        <v>43543</v>
      </c>
      <c r="K206" s="12">
        <f>IF(AG1,DATE(2019,1,5),DATE(2019,3,22))</f>
        <v>43546</v>
      </c>
      <c r="L206" s="11">
        <f>IF(AG1,DATE(2019,1,2),DATE(2019,3,14))</f>
        <v>43538</v>
      </c>
      <c r="M206" s="12">
        <v>43535</v>
      </c>
      <c r="N206" s="11">
        <f>IF(AG1,DATE(2019,1,21),DATE(2019,3,14))</f>
        <v>43538</v>
      </c>
      <c r="O206" s="12">
        <f>IF(AG1,DATE(2019,1,1),DATE(2019,3,1))</f>
        <v>43525</v>
      </c>
      <c r="P206" s="11">
        <f>IF(AG1,DATE(2019,1,1),DATE(2019,3,31))</f>
        <v>43555</v>
      </c>
      <c r="Q206" s="12">
        <f>IF(AG1,DATE(2019,1,2),DATE(2019,3,5))</f>
        <v>43529</v>
      </c>
      <c r="R206" s="11">
        <f>IF(AG1,DATE(2019,1,7),DATE(2019,3,15))</f>
        <v>43539</v>
      </c>
      <c r="S206" s="12">
        <f>IF(AG1,DATE(2019,1,10),DATE(2019,3,19))</f>
        <v>43543</v>
      </c>
      <c r="T206" s="11">
        <v>43529</v>
      </c>
      <c r="U206" s="12">
        <f>IF(AG1,DATE(2019,1,15),DATE(2019,3,1))</f>
        <v>43525</v>
      </c>
      <c r="V206" s="11">
        <f>IF(AG1,DATE(2019,1,1),DATE(2019,3,4))</f>
        <v>43528</v>
      </c>
      <c r="W206" s="12">
        <v>43537</v>
      </c>
      <c r="X206" s="11">
        <f>IF(AG1,DATE(2019,1,6),DATE(2019,3,22))</f>
        <v>43546</v>
      </c>
      <c r="Y206" s="12">
        <f>IF(AG1,DATE(2019,1,4),DATE(2019,3,17))</f>
        <v>43541</v>
      </c>
      <c r="Z206" s="11">
        <f>IF(AG1,DATE(2019,1,2),DATE(2019,2,27))</f>
        <v>43523</v>
      </c>
      <c r="AA206" s="12">
        <f>IF(AG1,DATE(2019,1,1),DATE(2019,2,26))</f>
        <v>43522</v>
      </c>
      <c r="AB206" s="11">
        <f>IF(AF1,DATE(2019,1,1),DATE(2019,3,14))</f>
        <v>43538</v>
      </c>
      <c r="AC206" s="12">
        <f>IF(AG1,DATE(2019,1,1),DATE(2019,3,10))</f>
        <v>43534</v>
      </c>
      <c r="AD206" s="34"/>
      <c r="AE206" s="33">
        <f t="shared" si="36"/>
        <v>43522</v>
      </c>
      <c r="AF206" s="33">
        <f t="shared" si="37"/>
        <v>43538</v>
      </c>
      <c r="AG206" s="33">
        <f t="shared" si="38"/>
        <v>43555</v>
      </c>
      <c r="AH206">
        <v>255</v>
      </c>
      <c r="AK206" s="36" t="str">
        <f t="shared" si="39"/>
        <v/>
      </c>
      <c r="AL206">
        <f t="shared" si="43"/>
        <v>1</v>
      </c>
      <c r="AM206">
        <v>14</v>
      </c>
      <c r="AN206">
        <f t="shared" si="40"/>
        <v>33</v>
      </c>
      <c r="AO206" t="str">
        <f t="shared" si="41"/>
        <v>26.2.---14.3.---31.3.</v>
      </c>
      <c r="AP206" t="str">
        <f t="shared" si="42"/>
        <v>Uuttukyyhky</v>
      </c>
      <c r="AQ206" t="str">
        <f t="shared" si="44"/>
        <v>(26.2.---14.3.---31.3., 14/21)</v>
      </c>
    </row>
    <row r="207" spans="1:43" x14ac:dyDescent="0.2">
      <c r="A207" s="1"/>
      <c r="B207" s="9">
        <f t="shared" si="35"/>
        <v>202</v>
      </c>
      <c r="C207" s="10"/>
      <c r="D207" s="9" t="s">
        <v>199</v>
      </c>
      <c r="E207" s="10"/>
      <c r="F207" s="11">
        <v>43545</v>
      </c>
      <c r="G207" s="12">
        <v>43550</v>
      </c>
      <c r="H207" s="11">
        <v>43546</v>
      </c>
      <c r="I207" s="12">
        <v>43547</v>
      </c>
      <c r="J207" s="11">
        <v>43543</v>
      </c>
      <c r="K207" s="12">
        <f>IF(AG1,DATE(2019,1,14),DATE(2019,3,24))</f>
        <v>43548</v>
      </c>
      <c r="L207" s="11">
        <f>IF(AG1,DATE(2019,1,6),DATE(2019,3,25))</f>
        <v>43549</v>
      </c>
      <c r="M207" s="12">
        <v>43537</v>
      </c>
      <c r="N207" s="11">
        <v>43539</v>
      </c>
      <c r="O207" s="12">
        <v>43547</v>
      </c>
      <c r="P207" s="11">
        <v>43547</v>
      </c>
      <c r="Q207" s="12">
        <v>43537</v>
      </c>
      <c r="R207" s="11">
        <f>IF(AG1,DATE(2019,1,2),DATE(2019,3,15))</f>
        <v>43539</v>
      </c>
      <c r="S207" s="12">
        <f>IF(AG1,DATE(2019,1,10),DATE(2019,3,16))</f>
        <v>43540</v>
      </c>
      <c r="T207" s="11">
        <v>43530</v>
      </c>
      <c r="U207" s="12">
        <v>43537</v>
      </c>
      <c r="V207" s="11">
        <v>43547</v>
      </c>
      <c r="W207" s="12">
        <f>IF(AG1,DATE(2019,1,8),DATE(2019,3,17))</f>
        <v>43541</v>
      </c>
      <c r="X207" s="11">
        <v>43547</v>
      </c>
      <c r="Y207" s="12">
        <f>IF(AG1,DATE(2019,1,11),DATE(2019,3,16))</f>
        <v>43540</v>
      </c>
      <c r="Z207" s="11">
        <f>IF(AG1,DATE(2019,1,1),DATE(2019,3,11))</f>
        <v>43535</v>
      </c>
      <c r="AA207" s="12">
        <v>43539</v>
      </c>
      <c r="AB207" s="11">
        <f>IF(AF1,DATE(2019,1,27),DATE(2019,3,12))</f>
        <v>43536</v>
      </c>
      <c r="AC207" s="12">
        <v>43526</v>
      </c>
      <c r="AD207" s="34"/>
      <c r="AE207" s="33">
        <f t="shared" si="36"/>
        <v>43526</v>
      </c>
      <c r="AF207" s="33">
        <f t="shared" si="37"/>
        <v>43540.5</v>
      </c>
      <c r="AG207" s="33">
        <f t="shared" si="38"/>
        <v>43550</v>
      </c>
      <c r="AH207">
        <v>256</v>
      </c>
      <c r="AK207" s="36" t="str">
        <f t="shared" si="39"/>
        <v/>
      </c>
      <c r="AL207" t="str">
        <f t="shared" si="43"/>
        <v/>
      </c>
      <c r="AM207">
        <v>7</v>
      </c>
      <c r="AN207">
        <f t="shared" si="40"/>
        <v>24</v>
      </c>
      <c r="AO207" t="str">
        <f t="shared" si="41"/>
        <v>2.3.---16.3.---26.3.</v>
      </c>
      <c r="AP207" t="str">
        <f t="shared" si="42"/>
        <v>Sepelkyyhky</v>
      </c>
      <c r="AQ207" t="str">
        <f t="shared" si="44"/>
        <v>(2.3.---16.3.---26.3., 7/21)</v>
      </c>
    </row>
    <row r="208" spans="1:43" x14ac:dyDescent="0.2">
      <c r="A208" s="1"/>
      <c r="B208" s="9">
        <f t="shared" si="35"/>
        <v>203</v>
      </c>
      <c r="C208" s="10"/>
      <c r="D208" s="9" t="s">
        <v>200</v>
      </c>
      <c r="E208" s="10"/>
      <c r="F208" s="11">
        <v>43476</v>
      </c>
      <c r="G208" s="12">
        <v>43470</v>
      </c>
      <c r="H208" s="11">
        <v>43470</v>
      </c>
      <c r="I208" s="12">
        <v>43469</v>
      </c>
      <c r="J208" s="11">
        <v>43466</v>
      </c>
      <c r="K208" s="12">
        <v>43466</v>
      </c>
      <c r="L208" s="11">
        <v>43466</v>
      </c>
      <c r="M208" s="12">
        <v>43466</v>
      </c>
      <c r="N208" s="11">
        <v>43466</v>
      </c>
      <c r="O208" s="12">
        <v>43466</v>
      </c>
      <c r="P208" s="11">
        <v>43466</v>
      </c>
      <c r="Q208" s="12">
        <v>43467</v>
      </c>
      <c r="R208" s="11">
        <v>43466</v>
      </c>
      <c r="S208" s="12">
        <v>43469</v>
      </c>
      <c r="T208" s="11">
        <v>43466</v>
      </c>
      <c r="U208" s="12">
        <v>43466</v>
      </c>
      <c r="V208" s="11">
        <v>43466</v>
      </c>
      <c r="W208" s="12">
        <v>43466</v>
      </c>
      <c r="X208" s="11">
        <v>43466</v>
      </c>
      <c r="Y208" s="12">
        <v>43466</v>
      </c>
      <c r="Z208" s="11">
        <v>43466</v>
      </c>
      <c r="AA208" s="12">
        <v>43466</v>
      </c>
      <c r="AB208" s="11">
        <v>43466</v>
      </c>
      <c r="AC208" s="12">
        <v>43466</v>
      </c>
      <c r="AD208" s="34"/>
      <c r="AE208" s="33">
        <f t="shared" si="36"/>
        <v>43466</v>
      </c>
      <c r="AF208" s="33">
        <f t="shared" si="37"/>
        <v>43466</v>
      </c>
      <c r="AG208" s="33">
        <f t="shared" si="38"/>
        <v>43476</v>
      </c>
      <c r="AH208">
        <v>257</v>
      </c>
      <c r="AK208" s="36" t="str">
        <f t="shared" si="39"/>
        <v/>
      </c>
      <c r="AL208">
        <f t="shared" si="43"/>
        <v>21</v>
      </c>
      <c r="AM208">
        <v>21</v>
      </c>
      <c r="AN208">
        <f t="shared" si="40"/>
        <v>10</v>
      </c>
      <c r="AO208" t="str">
        <f t="shared" si="41"/>
        <v>1.1.---1.1.---11.1.</v>
      </c>
      <c r="AP208" t="str">
        <f t="shared" si="42"/>
        <v>Turkinkyyhky</v>
      </c>
      <c r="AQ208" t="str">
        <f t="shared" si="44"/>
        <v>(1.1.---1.1.---11.1., 21/21)</v>
      </c>
    </row>
    <row r="209" spans="1:43" x14ac:dyDescent="0.2">
      <c r="A209" s="1"/>
      <c r="B209" s="9">
        <f t="shared" si="35"/>
        <v>204</v>
      </c>
      <c r="C209" s="10"/>
      <c r="D209" s="9" t="s">
        <v>201</v>
      </c>
      <c r="E209" s="10"/>
      <c r="F209" s="11">
        <v>43636</v>
      </c>
      <c r="G209" s="12">
        <v>43631</v>
      </c>
      <c r="H209" s="11">
        <v>43589</v>
      </c>
      <c r="I209" s="12">
        <v>43611</v>
      </c>
      <c r="J209" s="11">
        <v>43731</v>
      </c>
      <c r="K209" s="12">
        <v>43612</v>
      </c>
      <c r="L209" s="11">
        <v>43588</v>
      </c>
      <c r="M209" s="12">
        <v>43756</v>
      </c>
      <c r="N209" s="11">
        <v>43721</v>
      </c>
      <c r="O209" s="12">
        <v>43635</v>
      </c>
      <c r="P209" s="11">
        <v>43744</v>
      </c>
      <c r="Q209" s="12">
        <v>43676</v>
      </c>
      <c r="R209" s="11">
        <v>43721</v>
      </c>
      <c r="S209" s="12">
        <v>43576</v>
      </c>
      <c r="T209" s="11">
        <v>43748</v>
      </c>
      <c r="U209" s="12"/>
      <c r="V209" s="11">
        <v>43736</v>
      </c>
      <c r="W209" s="12">
        <v>43632</v>
      </c>
      <c r="X209" s="11">
        <v>43741</v>
      </c>
      <c r="Y209" s="12">
        <v>43722</v>
      </c>
      <c r="Z209" s="11"/>
      <c r="AA209" s="12">
        <v>43706</v>
      </c>
      <c r="AB209" s="11">
        <v>43589</v>
      </c>
      <c r="AC209" s="12">
        <v>43612</v>
      </c>
      <c r="AD209" s="34"/>
      <c r="AE209" s="33">
        <f t="shared" si="36"/>
        <v>43576</v>
      </c>
      <c r="AF209" s="33">
        <f t="shared" si="37"/>
        <v>43656</v>
      </c>
      <c r="AG209" s="33">
        <f t="shared" si="38"/>
        <v>43756</v>
      </c>
      <c r="AH209">
        <v>258</v>
      </c>
      <c r="AK209" s="36" t="str">
        <f t="shared" si="39"/>
        <v/>
      </c>
      <c r="AL209" t="str">
        <f t="shared" si="43"/>
        <v/>
      </c>
      <c r="AM209" t="s">
        <v>393</v>
      </c>
      <c r="AN209">
        <f t="shared" si="40"/>
        <v>180</v>
      </c>
      <c r="AO209" t="str">
        <f t="shared" si="41"/>
        <v>21.4.---10.7.---18.10.</v>
      </c>
      <c r="AP209" t="str">
        <f t="shared" si="42"/>
        <v>Turturikyyhky</v>
      </c>
      <c r="AQ209" t="str">
        <f t="shared" si="44"/>
        <v>(21.4.---10.7.---18.10.)</v>
      </c>
    </row>
    <row r="210" spans="1:43" x14ac:dyDescent="0.2">
      <c r="A210" s="1"/>
      <c r="B210" s="9">
        <f t="shared" si="35"/>
        <v>205</v>
      </c>
      <c r="C210" s="10"/>
      <c r="D210" s="15" t="s">
        <v>202</v>
      </c>
      <c r="E210" s="16"/>
      <c r="F210" s="11"/>
      <c r="G210" s="12"/>
      <c r="H210" s="11"/>
      <c r="I210" s="12"/>
      <c r="J210" s="11"/>
      <c r="K210" s="12"/>
      <c r="L210" s="11"/>
      <c r="M210" s="12"/>
      <c r="N210" s="11"/>
      <c r="O210" s="12"/>
      <c r="P210" s="11"/>
      <c r="Q210" s="12"/>
      <c r="R210" s="11"/>
      <c r="S210" s="12">
        <v>43793</v>
      </c>
      <c r="T210" s="11"/>
      <c r="U210" s="12"/>
      <c r="V210" s="11">
        <v>43707</v>
      </c>
      <c r="W210" s="12"/>
      <c r="X210" s="11">
        <v>43774</v>
      </c>
      <c r="Y210" s="12"/>
      <c r="Z210" s="11">
        <v>43762</v>
      </c>
      <c r="AA210" s="12"/>
      <c r="AB210" s="11">
        <v>43647</v>
      </c>
      <c r="AC210" s="12" t="s">
        <v>393</v>
      </c>
      <c r="AD210" s="34"/>
      <c r="AE210" s="33">
        <f t="shared" si="36"/>
        <v>43647</v>
      </c>
      <c r="AF210" s="33">
        <f t="shared" si="37"/>
        <v>43762</v>
      </c>
      <c r="AG210" s="33">
        <f t="shared" si="38"/>
        <v>43793</v>
      </c>
      <c r="AH210">
        <v>259</v>
      </c>
      <c r="AK210" s="36" t="str">
        <f t="shared" si="39"/>
        <v/>
      </c>
      <c r="AL210" t="str">
        <f t="shared" si="43"/>
        <v/>
      </c>
      <c r="AM210" t="s">
        <v>393</v>
      </c>
      <c r="AN210">
        <f t="shared" si="40"/>
        <v>146</v>
      </c>
      <c r="AO210" t="str">
        <f t="shared" si="41"/>
        <v>1.7.---24.10.---24.11.</v>
      </c>
      <c r="AP210" t="str">
        <f t="shared" si="42"/>
        <v>Idänturturikyyhky</v>
      </c>
      <c r="AQ210" t="str">
        <f t="shared" si="44"/>
        <v>(1.7.---24.10.---24.11.)</v>
      </c>
    </row>
    <row r="211" spans="1:43" x14ac:dyDescent="0.2">
      <c r="A211" s="1"/>
      <c r="B211" s="9">
        <f t="shared" si="35"/>
        <v>206</v>
      </c>
      <c r="C211" s="10"/>
      <c r="D211" s="9" t="s">
        <v>203</v>
      </c>
      <c r="E211" s="10"/>
      <c r="F211" s="11">
        <v>43603</v>
      </c>
      <c r="G211" s="12">
        <v>43602</v>
      </c>
      <c r="H211" s="11">
        <v>43596</v>
      </c>
      <c r="I211" s="12">
        <v>43588</v>
      </c>
      <c r="J211" s="11">
        <v>43591</v>
      </c>
      <c r="K211" s="12">
        <v>43597</v>
      </c>
      <c r="L211" s="11">
        <v>43598</v>
      </c>
      <c r="M211" s="12">
        <v>43596</v>
      </c>
      <c r="N211" s="11">
        <v>43587</v>
      </c>
      <c r="O211" s="12">
        <v>43594</v>
      </c>
      <c r="P211" s="11">
        <v>43592</v>
      </c>
      <c r="Q211" s="12">
        <v>43595</v>
      </c>
      <c r="R211" s="11">
        <v>43592</v>
      </c>
      <c r="S211" s="12">
        <v>43592</v>
      </c>
      <c r="T211" s="11">
        <v>43582</v>
      </c>
      <c r="U211" s="12">
        <v>43593</v>
      </c>
      <c r="V211" s="11">
        <v>43593</v>
      </c>
      <c r="W211" s="12">
        <v>43601</v>
      </c>
      <c r="X211" s="11">
        <v>43590</v>
      </c>
      <c r="Y211" s="12">
        <v>43587</v>
      </c>
      <c r="Z211" s="11">
        <v>43586</v>
      </c>
      <c r="AA211" s="12">
        <v>43596</v>
      </c>
      <c r="AB211" s="11">
        <v>43597</v>
      </c>
      <c r="AC211" s="12">
        <v>43594</v>
      </c>
      <c r="AD211" s="34"/>
      <c r="AE211" s="33">
        <f t="shared" si="36"/>
        <v>43582</v>
      </c>
      <c r="AF211" s="33">
        <f t="shared" si="37"/>
        <v>43593.5</v>
      </c>
      <c r="AG211" s="33">
        <f t="shared" si="38"/>
        <v>43603</v>
      </c>
      <c r="AH211">
        <v>261</v>
      </c>
      <c r="AK211" s="36" t="str">
        <f t="shared" si="39"/>
        <v/>
      </c>
      <c r="AL211" t="str">
        <f t="shared" si="43"/>
        <v/>
      </c>
      <c r="AM211" t="s">
        <v>393</v>
      </c>
      <c r="AN211">
        <f t="shared" si="40"/>
        <v>21</v>
      </c>
      <c r="AO211" t="str">
        <f t="shared" si="41"/>
        <v>27.4.---8.5.---18.5.</v>
      </c>
      <c r="AP211" t="str">
        <f t="shared" si="42"/>
        <v>Käki</v>
      </c>
      <c r="AQ211" t="str">
        <f t="shared" si="44"/>
        <v>(27.4.---8.5.---18.5.)</v>
      </c>
    </row>
    <row r="212" spans="1:43" x14ac:dyDescent="0.2">
      <c r="A212" s="1"/>
      <c r="B212" s="9">
        <f t="shared" si="35"/>
        <v>207</v>
      </c>
      <c r="C212" s="10"/>
      <c r="D212" s="15" t="s">
        <v>204</v>
      </c>
      <c r="E212" s="16"/>
      <c r="F212" s="11"/>
      <c r="G212" s="12"/>
      <c r="H212" s="11"/>
      <c r="I212" s="12"/>
      <c r="J212" s="11"/>
      <c r="K212" s="12"/>
      <c r="L212" s="11">
        <v>43772</v>
      </c>
      <c r="M212" s="12"/>
      <c r="N212" s="11"/>
      <c r="O212" s="12"/>
      <c r="P212" s="11"/>
      <c r="Q212" s="12"/>
      <c r="R212" s="11"/>
      <c r="S212" s="12"/>
      <c r="T212" s="11"/>
      <c r="U212" s="12"/>
      <c r="V212" s="11"/>
      <c r="W212" s="12"/>
      <c r="X212" s="11"/>
      <c r="Y212" s="12"/>
      <c r="Z212" s="11"/>
      <c r="AA212" s="12"/>
      <c r="AB212" s="11"/>
      <c r="AC212" s="12">
        <v>43822</v>
      </c>
      <c r="AD212" s="34"/>
      <c r="AE212" s="33">
        <f t="shared" si="36"/>
        <v>43772</v>
      </c>
      <c r="AF212" s="33">
        <f t="shared" si="37"/>
        <v>43797</v>
      </c>
      <c r="AG212" s="33">
        <f t="shared" si="38"/>
        <v>43822</v>
      </c>
      <c r="AH212">
        <v>263</v>
      </c>
      <c r="AK212" s="36" t="str">
        <f t="shared" si="39"/>
        <v/>
      </c>
      <c r="AL212" t="str">
        <f t="shared" si="43"/>
        <v/>
      </c>
      <c r="AM212" t="s">
        <v>393</v>
      </c>
      <c r="AN212">
        <f t="shared" si="40"/>
        <v>50</v>
      </c>
      <c r="AO212" t="str">
        <f t="shared" si="41"/>
        <v>3.11.---28.11.---23.12.</v>
      </c>
      <c r="AP212" t="str">
        <f t="shared" si="42"/>
        <v>Tornipöllö</v>
      </c>
      <c r="AQ212" t="str">
        <f t="shared" si="44"/>
        <v>(3.11.---28.11.---23.12.)</v>
      </c>
    </row>
    <row r="213" spans="1:43" x14ac:dyDescent="0.2">
      <c r="A213" s="1"/>
      <c r="B213" s="9">
        <f t="shared" si="35"/>
        <v>208</v>
      </c>
      <c r="C213" s="10"/>
      <c r="D213" s="9" t="s">
        <v>205</v>
      </c>
      <c r="E213" s="10"/>
      <c r="F213" s="11">
        <v>43466</v>
      </c>
      <c r="G213" s="12"/>
      <c r="H213" s="11">
        <v>43470</v>
      </c>
      <c r="I213" s="12">
        <v>43466</v>
      </c>
      <c r="J213" s="11">
        <v>43467</v>
      </c>
      <c r="K213" s="12">
        <v>43468</v>
      </c>
      <c r="L213" s="11">
        <v>43466</v>
      </c>
      <c r="M213" s="12">
        <v>43466</v>
      </c>
      <c r="N213" s="11">
        <v>43466</v>
      </c>
      <c r="O213" s="12">
        <v>43470</v>
      </c>
      <c r="P213" s="11">
        <v>43470</v>
      </c>
      <c r="Q213" s="12">
        <v>43467</v>
      </c>
      <c r="R213" s="11">
        <v>43471</v>
      </c>
      <c r="S213" s="12">
        <v>43468</v>
      </c>
      <c r="T213" s="11">
        <v>43466</v>
      </c>
      <c r="U213" s="12">
        <v>43466</v>
      </c>
      <c r="V213" s="11">
        <v>43466</v>
      </c>
      <c r="W213" s="12">
        <v>43466</v>
      </c>
      <c r="X213" s="11">
        <v>43466</v>
      </c>
      <c r="Y213" s="12">
        <v>43467</v>
      </c>
      <c r="Z213" s="11">
        <v>43466</v>
      </c>
      <c r="AA213" s="12">
        <v>43466</v>
      </c>
      <c r="AB213" s="11">
        <v>43466</v>
      </c>
      <c r="AC213" s="12">
        <v>43466</v>
      </c>
      <c r="AD213" s="34"/>
      <c r="AE213" s="33">
        <f t="shared" si="36"/>
        <v>43466</v>
      </c>
      <c r="AF213" s="33">
        <f t="shared" si="37"/>
        <v>43466</v>
      </c>
      <c r="AG213" s="33">
        <f t="shared" si="38"/>
        <v>43471</v>
      </c>
      <c r="AH213">
        <v>265</v>
      </c>
      <c r="AK213" s="36" t="str">
        <f t="shared" si="39"/>
        <v/>
      </c>
      <c r="AL213">
        <f t="shared" si="43"/>
        <v>20</v>
      </c>
      <c r="AM213">
        <v>20</v>
      </c>
      <c r="AN213">
        <f t="shared" si="40"/>
        <v>5</v>
      </c>
      <c r="AO213" t="str">
        <f t="shared" si="41"/>
        <v>1.1.---1.1.---6.1.</v>
      </c>
      <c r="AP213" t="str">
        <f t="shared" si="42"/>
        <v>Huuhkaja</v>
      </c>
      <c r="AQ213" t="str">
        <f t="shared" si="44"/>
        <v>(1.1.---1.1.---6.1., 20/21)</v>
      </c>
    </row>
    <row r="214" spans="1:43" x14ac:dyDescent="0.2">
      <c r="A214" s="1"/>
      <c r="B214" s="9">
        <f t="shared" si="35"/>
        <v>209</v>
      </c>
      <c r="C214" s="10"/>
      <c r="D214" s="9" t="s">
        <v>206</v>
      </c>
      <c r="E214" s="10"/>
      <c r="F214" s="11">
        <v>43475</v>
      </c>
      <c r="G214" s="12">
        <v>43466</v>
      </c>
      <c r="H214" s="11">
        <v>43480</v>
      </c>
      <c r="I214" s="12"/>
      <c r="J214" s="11"/>
      <c r="K214" s="12"/>
      <c r="L214" s="11"/>
      <c r="M214" s="12"/>
      <c r="N214" s="11"/>
      <c r="O214" s="12"/>
      <c r="P214" s="11">
        <v>43782</v>
      </c>
      <c r="Q214" s="12">
        <v>43490</v>
      </c>
      <c r="R214" s="11"/>
      <c r="S214" s="12">
        <v>43596</v>
      </c>
      <c r="T214" s="11">
        <v>43784</v>
      </c>
      <c r="U214" s="12">
        <v>43543</v>
      </c>
      <c r="V214" s="11"/>
      <c r="W214" s="12"/>
      <c r="X214" s="11"/>
      <c r="Y214" s="12"/>
      <c r="Z214" s="11">
        <v>43713</v>
      </c>
      <c r="AA214" s="12"/>
      <c r="AB214" s="11"/>
      <c r="AC214" s="12" t="s">
        <v>393</v>
      </c>
      <c r="AD214" s="34"/>
      <c r="AE214" s="33">
        <f t="shared" si="36"/>
        <v>43466</v>
      </c>
      <c r="AF214" s="33">
        <f t="shared" si="37"/>
        <v>43543</v>
      </c>
      <c r="AG214" s="33">
        <f t="shared" si="38"/>
        <v>43784</v>
      </c>
      <c r="AH214">
        <v>266</v>
      </c>
      <c r="AK214" s="36" t="str">
        <f t="shared" si="39"/>
        <v/>
      </c>
      <c r="AL214">
        <f t="shared" si="43"/>
        <v>4</v>
      </c>
      <c r="AM214">
        <v>4</v>
      </c>
      <c r="AN214">
        <f t="shared" si="40"/>
        <v>318</v>
      </c>
      <c r="AO214" t="str">
        <f t="shared" si="41"/>
        <v>1.1.---19.3.---15.11.</v>
      </c>
      <c r="AP214" t="str">
        <f t="shared" si="42"/>
        <v>Tunturipöllö</v>
      </c>
      <c r="AQ214" t="str">
        <f t="shared" si="44"/>
        <v>(1.1.---19.3.---15.11., 4/21)</v>
      </c>
    </row>
    <row r="215" spans="1:43" x14ac:dyDescent="0.2">
      <c r="A215" s="1"/>
      <c r="B215" s="9">
        <f t="shared" si="35"/>
        <v>210</v>
      </c>
      <c r="C215" s="10"/>
      <c r="D215" s="9" t="s">
        <v>207</v>
      </c>
      <c r="E215" s="10"/>
      <c r="F215" s="11">
        <v>43466</v>
      </c>
      <c r="G215" s="12">
        <v>43495</v>
      </c>
      <c r="H215" s="11">
        <v>43466</v>
      </c>
      <c r="I215" s="12">
        <v>43466</v>
      </c>
      <c r="J215" s="11">
        <v>43475</v>
      </c>
      <c r="K215" s="12">
        <v>43466</v>
      </c>
      <c r="L215" s="11">
        <v>43466</v>
      </c>
      <c r="M215" s="12">
        <v>43468</v>
      </c>
      <c r="N215" s="11">
        <v>43541</v>
      </c>
      <c r="O215" s="12">
        <v>43477</v>
      </c>
      <c r="P215" s="11">
        <v>43480</v>
      </c>
      <c r="Q215" s="12">
        <v>43466</v>
      </c>
      <c r="R215" s="11">
        <v>43471</v>
      </c>
      <c r="S215" s="12">
        <v>43468</v>
      </c>
      <c r="T215" s="11">
        <v>43466</v>
      </c>
      <c r="U215" s="12">
        <v>43469</v>
      </c>
      <c r="V215" s="11">
        <v>43466</v>
      </c>
      <c r="W215" s="12">
        <v>43469</v>
      </c>
      <c r="X215" s="11">
        <v>43466</v>
      </c>
      <c r="Y215" s="12">
        <v>43466</v>
      </c>
      <c r="Z215" s="11">
        <v>43477</v>
      </c>
      <c r="AA215" s="12">
        <v>43496</v>
      </c>
      <c r="AB215" s="11">
        <v>43466</v>
      </c>
      <c r="AC215" s="12">
        <v>43467</v>
      </c>
      <c r="AD215" s="34"/>
      <c r="AE215" s="33">
        <f t="shared" si="36"/>
        <v>43466</v>
      </c>
      <c r="AF215" s="33">
        <f t="shared" si="37"/>
        <v>43467.5</v>
      </c>
      <c r="AG215" s="33">
        <f t="shared" si="38"/>
        <v>43541</v>
      </c>
      <c r="AH215">
        <v>267</v>
      </c>
      <c r="AK215" s="36" t="str">
        <f t="shared" si="39"/>
        <v/>
      </c>
      <c r="AL215">
        <f t="shared" si="43"/>
        <v>20</v>
      </c>
      <c r="AM215">
        <v>20</v>
      </c>
      <c r="AN215">
        <f t="shared" si="40"/>
        <v>75</v>
      </c>
      <c r="AO215" t="str">
        <f t="shared" si="41"/>
        <v>1.1.---2.1.---17.3.</v>
      </c>
      <c r="AP215" t="str">
        <f t="shared" si="42"/>
        <v>Hiiripöllö</v>
      </c>
      <c r="AQ215" t="str">
        <f t="shared" si="44"/>
        <v>(1.1.---2.1.---17.3., 20/21)</v>
      </c>
    </row>
    <row r="216" spans="1:43" x14ac:dyDescent="0.2">
      <c r="A216" s="1"/>
      <c r="B216" s="9">
        <f t="shared" si="35"/>
        <v>211</v>
      </c>
      <c r="C216" s="10"/>
      <c r="D216" s="9" t="s">
        <v>208</v>
      </c>
      <c r="E216" s="10"/>
      <c r="F216" s="11"/>
      <c r="G216" s="12"/>
      <c r="H216" s="11">
        <v>43466</v>
      </c>
      <c r="I216" s="12">
        <v>43467</v>
      </c>
      <c r="J216" s="11">
        <v>43466</v>
      </c>
      <c r="K216" s="12">
        <v>43466</v>
      </c>
      <c r="L216" s="11">
        <v>43466</v>
      </c>
      <c r="M216" s="12">
        <v>43466</v>
      </c>
      <c r="N216" s="11">
        <v>43466</v>
      </c>
      <c r="O216" s="12">
        <v>43466</v>
      </c>
      <c r="P216" s="11">
        <v>43466</v>
      </c>
      <c r="Q216" s="12">
        <v>43466</v>
      </c>
      <c r="R216" s="11">
        <v>43466</v>
      </c>
      <c r="S216" s="12">
        <v>43467</v>
      </c>
      <c r="T216" s="11">
        <v>43469</v>
      </c>
      <c r="U216" s="12">
        <v>43466</v>
      </c>
      <c r="V216" s="11">
        <v>43466</v>
      </c>
      <c r="W216" s="12">
        <v>43466</v>
      </c>
      <c r="X216" s="11">
        <v>43466</v>
      </c>
      <c r="Y216" s="12">
        <v>43468</v>
      </c>
      <c r="Z216" s="11">
        <v>43467</v>
      </c>
      <c r="AA216" s="12">
        <v>43466</v>
      </c>
      <c r="AB216" s="11">
        <v>43466</v>
      </c>
      <c r="AC216" s="12">
        <v>43466</v>
      </c>
      <c r="AD216" s="34"/>
      <c r="AE216" s="33">
        <f t="shared" si="36"/>
        <v>43466</v>
      </c>
      <c r="AF216" s="33">
        <f t="shared" si="37"/>
        <v>43466</v>
      </c>
      <c r="AG216" s="33">
        <f t="shared" si="38"/>
        <v>43469</v>
      </c>
      <c r="AH216">
        <v>268</v>
      </c>
      <c r="AK216" s="36" t="str">
        <f t="shared" si="39"/>
        <v/>
      </c>
      <c r="AL216">
        <f t="shared" si="43"/>
        <v>19</v>
      </c>
      <c r="AM216">
        <v>19</v>
      </c>
      <c r="AN216">
        <f t="shared" si="40"/>
        <v>3</v>
      </c>
      <c r="AO216" t="str">
        <f t="shared" si="41"/>
        <v>1.1.---1.1.---4.1.</v>
      </c>
      <c r="AP216" t="str">
        <f t="shared" si="42"/>
        <v>Varpuspöllö</v>
      </c>
      <c r="AQ216" t="str">
        <f t="shared" si="44"/>
        <v>(1.1.---1.1.---4.1., 19/21)</v>
      </c>
    </row>
    <row r="217" spans="1:43" x14ac:dyDescent="0.2">
      <c r="A217" s="1"/>
      <c r="B217" s="9">
        <f t="shared" si="35"/>
        <v>212</v>
      </c>
      <c r="C217" s="10"/>
      <c r="D217" s="15" t="s">
        <v>209</v>
      </c>
      <c r="E217" s="16"/>
      <c r="F217" s="11"/>
      <c r="G217" s="12"/>
      <c r="H217" s="11"/>
      <c r="I217" s="12"/>
      <c r="J217" s="11"/>
      <c r="K217" s="12"/>
      <c r="L217" s="11"/>
      <c r="M217" s="12"/>
      <c r="N217" s="11"/>
      <c r="O217" s="12"/>
      <c r="P217" s="11"/>
      <c r="Q217" s="12"/>
      <c r="R217" s="11"/>
      <c r="S217" s="12"/>
      <c r="T217" s="11"/>
      <c r="U217" s="12"/>
      <c r="V217" s="11"/>
      <c r="W217" s="12"/>
      <c r="X217" s="11"/>
      <c r="Y217" s="12"/>
      <c r="Z217" s="11"/>
      <c r="AA217" s="12"/>
      <c r="AB217" s="11"/>
      <c r="AC217" s="12" t="s">
        <v>393</v>
      </c>
      <c r="AD217" s="34"/>
      <c r="AE217" s="33" t="str">
        <f t="shared" si="36"/>
        <v/>
      </c>
      <c r="AF217" s="33" t="str">
        <f t="shared" si="37"/>
        <v/>
      </c>
      <c r="AG217" s="33" t="str">
        <f t="shared" si="38"/>
        <v/>
      </c>
      <c r="AH217">
        <v>269</v>
      </c>
      <c r="AK217" s="36" t="str">
        <f t="shared" si="39"/>
        <v/>
      </c>
      <c r="AL217" t="str">
        <f t="shared" si="43"/>
        <v/>
      </c>
      <c r="AM217" t="s">
        <v>393</v>
      </c>
      <c r="AN217" t="e">
        <f t="shared" si="40"/>
        <v>#VALUE!</v>
      </c>
      <c r="AO217" t="str">
        <f t="shared" si="41"/>
        <v>------</v>
      </c>
      <c r="AP217" t="str">
        <f t="shared" si="42"/>
        <v>Minervanpöllö</v>
      </c>
      <c r="AQ217" t="str">
        <f t="shared" si="44"/>
        <v>(------)</v>
      </c>
    </row>
    <row r="218" spans="1:43" x14ac:dyDescent="0.2">
      <c r="A218" s="1"/>
      <c r="B218" s="9">
        <f t="shared" si="35"/>
        <v>213</v>
      </c>
      <c r="C218" s="10"/>
      <c r="D218" s="13" t="s">
        <v>210</v>
      </c>
      <c r="E218" s="14"/>
      <c r="F218" s="11"/>
      <c r="G218" s="12"/>
      <c r="H218" s="11"/>
      <c r="I218" s="12">
        <v>43620</v>
      </c>
      <c r="J218" s="11"/>
      <c r="K218" s="12">
        <v>43647</v>
      </c>
      <c r="L218" s="11"/>
      <c r="M218" s="12"/>
      <c r="N218" s="11"/>
      <c r="O218" s="12"/>
      <c r="P218" s="11">
        <v>43656</v>
      </c>
      <c r="Q218" s="12">
        <v>43562</v>
      </c>
      <c r="R218" s="11"/>
      <c r="S218" s="12"/>
      <c r="T218" s="11"/>
      <c r="U218" s="12">
        <v>43694</v>
      </c>
      <c r="V218" s="11"/>
      <c r="W218" s="12"/>
      <c r="X218" s="11"/>
      <c r="Y218" s="12"/>
      <c r="Z218" s="11"/>
      <c r="AA218" s="12"/>
      <c r="AB218" s="11">
        <v>43541</v>
      </c>
      <c r="AC218" s="12">
        <v>43478</v>
      </c>
      <c r="AD218" s="34"/>
      <c r="AE218" s="33">
        <f t="shared" si="36"/>
        <v>43478</v>
      </c>
      <c r="AF218" s="33">
        <f t="shared" si="37"/>
        <v>43620</v>
      </c>
      <c r="AG218" s="33">
        <f t="shared" si="38"/>
        <v>43694</v>
      </c>
      <c r="AH218">
        <v>270</v>
      </c>
      <c r="AK218" s="36" t="str">
        <f t="shared" si="39"/>
        <v/>
      </c>
      <c r="AL218" t="str">
        <f t="shared" si="43"/>
        <v/>
      </c>
      <c r="AM218" t="s">
        <v>393</v>
      </c>
      <c r="AN218">
        <f t="shared" si="40"/>
        <v>216</v>
      </c>
      <c r="AO218" t="str">
        <f t="shared" si="41"/>
        <v>13.1.---4.6.---17.8.</v>
      </c>
      <c r="AP218" t="str">
        <f t="shared" si="42"/>
        <v>Lehtopöllö</v>
      </c>
      <c r="AQ218" t="str">
        <f t="shared" si="44"/>
        <v>(13.1.---4.6.---17.8.)</v>
      </c>
    </row>
    <row r="219" spans="1:43" x14ac:dyDescent="0.2">
      <c r="A219" s="1"/>
      <c r="B219" s="9">
        <f t="shared" si="35"/>
        <v>214</v>
      </c>
      <c r="C219" s="10"/>
      <c r="D219" s="9" t="s">
        <v>211</v>
      </c>
      <c r="E219" s="10"/>
      <c r="F219" s="11">
        <v>43477</v>
      </c>
      <c r="G219" s="12">
        <v>43478</v>
      </c>
      <c r="H219" s="11">
        <v>43502</v>
      </c>
      <c r="I219" s="12">
        <v>43481</v>
      </c>
      <c r="J219" s="11">
        <v>43471</v>
      </c>
      <c r="K219" s="12">
        <v>43479</v>
      </c>
      <c r="L219" s="11">
        <v>43468</v>
      </c>
      <c r="M219" s="12">
        <v>43466</v>
      </c>
      <c r="N219" s="11">
        <v>43477</v>
      </c>
      <c r="O219" s="12">
        <v>43467</v>
      </c>
      <c r="P219" s="11">
        <v>43473</v>
      </c>
      <c r="Q219" s="12">
        <v>43473</v>
      </c>
      <c r="R219" s="11">
        <v>43484</v>
      </c>
      <c r="S219" s="12">
        <v>43474</v>
      </c>
      <c r="T219" s="11">
        <v>43466</v>
      </c>
      <c r="U219" s="12">
        <v>43466</v>
      </c>
      <c r="V219" s="11">
        <v>43469</v>
      </c>
      <c r="W219" s="12">
        <v>43471</v>
      </c>
      <c r="X219" s="11">
        <v>43467</v>
      </c>
      <c r="Y219" s="12">
        <v>43481</v>
      </c>
      <c r="Z219" s="11">
        <v>43476</v>
      </c>
      <c r="AA219" s="12">
        <v>43469</v>
      </c>
      <c r="AB219" s="11">
        <v>43478</v>
      </c>
      <c r="AC219" s="12">
        <v>43479</v>
      </c>
      <c r="AD219" s="34"/>
      <c r="AE219" s="33">
        <f t="shared" si="36"/>
        <v>43466</v>
      </c>
      <c r="AF219" s="33">
        <f t="shared" si="37"/>
        <v>43473.5</v>
      </c>
      <c r="AG219" s="33">
        <f t="shared" si="38"/>
        <v>43502</v>
      </c>
      <c r="AH219">
        <v>271</v>
      </c>
      <c r="AK219" s="36" t="str">
        <f t="shared" si="39"/>
        <v/>
      </c>
      <c r="AL219">
        <f t="shared" si="43"/>
        <v>21</v>
      </c>
      <c r="AM219">
        <v>21</v>
      </c>
      <c r="AN219">
        <f t="shared" si="40"/>
        <v>36</v>
      </c>
      <c r="AO219" t="str">
        <f t="shared" si="41"/>
        <v>1.1.---8.1.---6.2.</v>
      </c>
      <c r="AP219" t="str">
        <f t="shared" si="42"/>
        <v>Viirupöllö</v>
      </c>
      <c r="AQ219" t="str">
        <f t="shared" si="44"/>
        <v>(1.1.---8.1.---6.2., 21/21)</v>
      </c>
    </row>
    <row r="220" spans="1:43" x14ac:dyDescent="0.2">
      <c r="A220" s="1"/>
      <c r="B220" s="9">
        <f t="shared" si="35"/>
        <v>215</v>
      </c>
      <c r="C220" s="10"/>
      <c r="D220" s="9" t="s">
        <v>212</v>
      </c>
      <c r="E220" s="10"/>
      <c r="F220" s="11">
        <v>43498</v>
      </c>
      <c r="G220" s="12">
        <v>43495</v>
      </c>
      <c r="H220" s="11">
        <v>43512</v>
      </c>
      <c r="I220" s="12">
        <v>43481</v>
      </c>
      <c r="J220" s="11">
        <v>43466</v>
      </c>
      <c r="K220" s="12">
        <v>43469</v>
      </c>
      <c r="L220" s="11">
        <v>43469</v>
      </c>
      <c r="M220" s="12">
        <v>43484</v>
      </c>
      <c r="N220" s="11">
        <v>43473</v>
      </c>
      <c r="O220" s="12">
        <v>43476</v>
      </c>
      <c r="P220" s="11">
        <v>43478</v>
      </c>
      <c r="Q220" s="12">
        <v>43488</v>
      </c>
      <c r="R220" s="11">
        <v>43474</v>
      </c>
      <c r="S220" s="12">
        <v>43467</v>
      </c>
      <c r="T220" s="11">
        <v>43471</v>
      </c>
      <c r="U220" s="12">
        <v>43471</v>
      </c>
      <c r="V220" s="11">
        <v>43467</v>
      </c>
      <c r="W220" s="12">
        <v>43496</v>
      </c>
      <c r="X220" s="11">
        <v>43466</v>
      </c>
      <c r="Y220" s="12">
        <v>43470</v>
      </c>
      <c r="Z220" s="11">
        <v>43469</v>
      </c>
      <c r="AA220" s="12">
        <v>43492</v>
      </c>
      <c r="AB220" s="11">
        <v>43472</v>
      </c>
      <c r="AC220" s="12">
        <v>43480</v>
      </c>
      <c r="AD220" s="34"/>
      <c r="AE220" s="33">
        <f t="shared" si="36"/>
        <v>43466</v>
      </c>
      <c r="AF220" s="33">
        <f t="shared" si="37"/>
        <v>43473.5</v>
      </c>
      <c r="AG220" s="33">
        <f t="shared" si="38"/>
        <v>43512</v>
      </c>
      <c r="AH220">
        <v>272</v>
      </c>
      <c r="AK220" s="36" t="str">
        <f t="shared" si="39"/>
        <v/>
      </c>
      <c r="AL220">
        <f t="shared" si="43"/>
        <v>21</v>
      </c>
      <c r="AM220">
        <v>21</v>
      </c>
      <c r="AN220">
        <f t="shared" si="40"/>
        <v>46</v>
      </c>
      <c r="AO220" t="str">
        <f t="shared" si="41"/>
        <v>1.1.---8.1.---16.2.</v>
      </c>
      <c r="AP220" t="str">
        <f t="shared" si="42"/>
        <v>Lapinpöllö</v>
      </c>
      <c r="AQ220" t="str">
        <f t="shared" si="44"/>
        <v>(1.1.---8.1.---16.2., 21/21)</v>
      </c>
    </row>
    <row r="221" spans="1:43" x14ac:dyDescent="0.2">
      <c r="A221" s="1"/>
      <c r="B221" s="9">
        <f t="shared" si="35"/>
        <v>216</v>
      </c>
      <c r="C221" s="10"/>
      <c r="D221" s="9" t="s">
        <v>213</v>
      </c>
      <c r="E221" s="10"/>
      <c r="F221" s="11">
        <v>43539</v>
      </c>
      <c r="G221" s="12">
        <v>43552</v>
      </c>
      <c r="H221" s="11">
        <v>43536</v>
      </c>
      <c r="I221" s="12">
        <v>43481</v>
      </c>
      <c r="J221" s="11">
        <v>43565</v>
      </c>
      <c r="K221" s="12">
        <v>43546</v>
      </c>
      <c r="L221" s="11">
        <f>IF(AG1,DATE(2019,1,13),DATE(2019,3,8))</f>
        <v>43532</v>
      </c>
      <c r="M221" s="12">
        <v>43535</v>
      </c>
      <c r="N221" s="11">
        <v>43542</v>
      </c>
      <c r="O221" s="12">
        <v>43532</v>
      </c>
      <c r="P221" s="11">
        <v>43536</v>
      </c>
      <c r="Q221" s="12">
        <v>43493</v>
      </c>
      <c r="R221" s="11">
        <v>43517</v>
      </c>
      <c r="S221" s="12">
        <v>43554</v>
      </c>
      <c r="T221" s="11">
        <v>43509</v>
      </c>
      <c r="U221" s="12">
        <v>43496</v>
      </c>
      <c r="V221" s="11">
        <f>IF(AG1,DATE(2019,1,19),DATE(2019,2,25))</f>
        <v>43521</v>
      </c>
      <c r="W221" s="12">
        <f>IF(AG1,DATE(2019,1,26),DATE(2019,3,4))</f>
        <v>43528</v>
      </c>
      <c r="X221" s="11">
        <f>IF(AG1,DATE(2019,1,27),DATE(2019,3,2))</f>
        <v>43526</v>
      </c>
      <c r="Y221" s="12">
        <v>43512</v>
      </c>
      <c r="Z221" s="11">
        <v>43524</v>
      </c>
      <c r="AA221" s="12">
        <v>43527</v>
      </c>
      <c r="AB221" s="11">
        <f>IF(AF1,DATE(2019,1,24),DATE(2019,3,12))</f>
        <v>43536</v>
      </c>
      <c r="AC221" s="12">
        <v>43520</v>
      </c>
      <c r="AD221" s="34"/>
      <c r="AE221" s="33">
        <f t="shared" si="36"/>
        <v>43481</v>
      </c>
      <c r="AF221" s="33">
        <f t="shared" si="37"/>
        <v>43530</v>
      </c>
      <c r="AG221" s="33">
        <f t="shared" si="38"/>
        <v>43565</v>
      </c>
      <c r="AH221">
        <v>273</v>
      </c>
      <c r="AK221" s="36" t="str">
        <f t="shared" si="39"/>
        <v/>
      </c>
      <c r="AL221">
        <f t="shared" si="43"/>
        <v>8</v>
      </c>
      <c r="AM221">
        <v>11</v>
      </c>
      <c r="AN221">
        <f t="shared" si="40"/>
        <v>84</v>
      </c>
      <c r="AO221" t="str">
        <f t="shared" si="41"/>
        <v>16.1.---6.3.---10.4.</v>
      </c>
      <c r="AP221" t="str">
        <f t="shared" si="42"/>
        <v>Sarvipöllö</v>
      </c>
      <c r="AQ221" t="str">
        <f t="shared" si="44"/>
        <v>(16.1.---6.3.---10.4., 11/21)</v>
      </c>
    </row>
    <row r="222" spans="1:43" x14ac:dyDescent="0.2">
      <c r="A222" s="1"/>
      <c r="B222" s="9">
        <f t="shared" ref="B222:B251" si="51">B221+1</f>
        <v>217</v>
      </c>
      <c r="C222" s="10"/>
      <c r="D222" s="9" t="s">
        <v>214</v>
      </c>
      <c r="E222" s="10"/>
      <c r="F222" s="11">
        <v>43571</v>
      </c>
      <c r="G222" s="12">
        <v>43569</v>
      </c>
      <c r="H222" s="11">
        <v>43560</v>
      </c>
      <c r="I222" s="12">
        <v>43568</v>
      </c>
      <c r="J222" s="11">
        <v>43562</v>
      </c>
      <c r="K222" s="12">
        <v>43564</v>
      </c>
      <c r="L222" s="11">
        <v>43535</v>
      </c>
      <c r="M222" s="12">
        <f>IF(AG1,DATE(2019,1,11),DATE(2019,4,1))</f>
        <v>43556</v>
      </c>
      <c r="N222" s="11">
        <v>43561</v>
      </c>
      <c r="O222" s="12">
        <f>IF(AG1,DATE(2019,1,2),DATE(2019,3,22))</f>
        <v>43546</v>
      </c>
      <c r="P222" s="11">
        <f>IF(AG1,DATE(2019,1,2),DATE(2019,3,13))</f>
        <v>43537</v>
      </c>
      <c r="Q222" s="12">
        <v>43567</v>
      </c>
      <c r="R222" s="11">
        <v>43562</v>
      </c>
      <c r="S222" s="12">
        <v>43569</v>
      </c>
      <c r="T222" s="11">
        <f>IF(AG1,DATE(2019,1,1),DATE(2019,4,2))</f>
        <v>43557</v>
      </c>
      <c r="U222" s="12">
        <f>IF(AG1,DATE(2019,1,1),DATE(2019,4,3))</f>
        <v>43558</v>
      </c>
      <c r="V222" s="11">
        <f>IF(AG1,DATE(2019,1,28),DATE(2019,4,11))</f>
        <v>43566</v>
      </c>
      <c r="W222" s="12">
        <f>IF(AG1,DATE(2019,1,9),DATE(2019,4,28))</f>
        <v>43583</v>
      </c>
      <c r="X222" s="11">
        <f>IF(AG1,DATE(2019,1,18),DATE(2019,4,13))</f>
        <v>43568</v>
      </c>
      <c r="Y222" s="12">
        <f>IF(AG1,DATE(2019,1,5),DATE(2019,4,17))</f>
        <v>43572</v>
      </c>
      <c r="Z222" s="11">
        <v>43563</v>
      </c>
      <c r="AA222" s="12">
        <v>43563</v>
      </c>
      <c r="AB222" s="11">
        <v>43548</v>
      </c>
      <c r="AC222" s="12">
        <v>43527</v>
      </c>
      <c r="AD222" s="34"/>
      <c r="AE222" s="33">
        <f t="shared" si="36"/>
        <v>43527</v>
      </c>
      <c r="AF222" s="33">
        <f t="shared" si="37"/>
        <v>43562.5</v>
      </c>
      <c r="AG222" s="33">
        <f t="shared" si="38"/>
        <v>43583</v>
      </c>
      <c r="AH222">
        <v>274</v>
      </c>
      <c r="AK222" s="36" t="str">
        <f t="shared" si="39"/>
        <v/>
      </c>
      <c r="AL222" t="str">
        <f t="shared" si="43"/>
        <v/>
      </c>
      <c r="AM222">
        <v>9</v>
      </c>
      <c r="AN222">
        <f t="shared" si="40"/>
        <v>56</v>
      </c>
      <c r="AO222" t="str">
        <f t="shared" si="41"/>
        <v>3.3.---7.4.---28.4.</v>
      </c>
      <c r="AP222" t="str">
        <f t="shared" si="42"/>
        <v>Suopöllö</v>
      </c>
      <c r="AQ222" t="str">
        <f t="shared" si="44"/>
        <v>(3.3.---7.4.---28.4., 9/21)</v>
      </c>
    </row>
    <row r="223" spans="1:43" x14ac:dyDescent="0.2">
      <c r="A223" s="1"/>
      <c r="B223" s="9">
        <f t="shared" si="51"/>
        <v>218</v>
      </c>
      <c r="C223" s="10"/>
      <c r="D223" s="9" t="s">
        <v>215</v>
      </c>
      <c r="E223" s="10"/>
      <c r="F223" s="11"/>
      <c r="G223" s="12">
        <v>43477</v>
      </c>
      <c r="H223" s="11">
        <v>43473</v>
      </c>
      <c r="I223" s="12">
        <v>43476</v>
      </c>
      <c r="J223" s="11">
        <v>43474</v>
      </c>
      <c r="K223" s="12">
        <v>43466</v>
      </c>
      <c r="L223" s="11">
        <v>43466</v>
      </c>
      <c r="M223" s="12">
        <v>43466</v>
      </c>
      <c r="N223" s="11">
        <v>43469</v>
      </c>
      <c r="O223" s="12">
        <v>43471</v>
      </c>
      <c r="P223" s="11">
        <v>43477</v>
      </c>
      <c r="Q223" s="12">
        <v>43467</v>
      </c>
      <c r="R223" s="11">
        <v>43470</v>
      </c>
      <c r="S223" s="12">
        <v>43470</v>
      </c>
      <c r="T223" s="11">
        <v>43466</v>
      </c>
      <c r="U223" s="12">
        <v>43466</v>
      </c>
      <c r="V223" s="11">
        <v>43478</v>
      </c>
      <c r="W223" s="12">
        <v>43474</v>
      </c>
      <c r="X223" s="11">
        <v>43466</v>
      </c>
      <c r="Y223" s="12">
        <v>43467</v>
      </c>
      <c r="Z223" s="11">
        <v>43466</v>
      </c>
      <c r="AA223" s="12">
        <v>43466</v>
      </c>
      <c r="AB223" s="11">
        <v>43466</v>
      </c>
      <c r="AC223" s="12">
        <v>43466</v>
      </c>
      <c r="AD223" s="34"/>
      <c r="AE223" s="33">
        <f t="shared" si="36"/>
        <v>43466</v>
      </c>
      <c r="AF223" s="33">
        <f t="shared" si="37"/>
        <v>43467</v>
      </c>
      <c r="AG223" s="33">
        <f t="shared" si="38"/>
        <v>43478</v>
      </c>
      <c r="AH223">
        <v>275</v>
      </c>
      <c r="AK223" s="36" t="str">
        <f t="shared" si="39"/>
        <v/>
      </c>
      <c r="AL223">
        <f t="shared" si="43"/>
        <v>20</v>
      </c>
      <c r="AM223">
        <v>20</v>
      </c>
      <c r="AN223">
        <f t="shared" si="40"/>
        <v>12</v>
      </c>
      <c r="AO223" t="str">
        <f t="shared" si="41"/>
        <v>1.1.---2.1.---13.1.</v>
      </c>
      <c r="AP223" t="str">
        <f t="shared" si="42"/>
        <v>Helmipöllö</v>
      </c>
      <c r="AQ223" t="str">
        <f t="shared" si="44"/>
        <v>(1.1.---2.1.---13.1., 20/21)</v>
      </c>
    </row>
    <row r="224" spans="1:43" x14ac:dyDescent="0.2">
      <c r="A224" s="1"/>
      <c r="B224" s="9">
        <f t="shared" si="51"/>
        <v>219</v>
      </c>
      <c r="C224" s="10"/>
      <c r="D224" s="13" t="s">
        <v>216</v>
      </c>
      <c r="E224" s="14"/>
      <c r="F224" s="11"/>
      <c r="G224" s="12"/>
      <c r="H224" s="11"/>
      <c r="I224" s="12">
        <v>43631</v>
      </c>
      <c r="J224" s="11">
        <v>43611</v>
      </c>
      <c r="K224" s="12"/>
      <c r="L224" s="11"/>
      <c r="M224" s="12"/>
      <c r="N224" s="11"/>
      <c r="O224" s="12">
        <v>43599</v>
      </c>
      <c r="P224" s="11"/>
      <c r="Q224" s="12"/>
      <c r="R224" s="11"/>
      <c r="S224" s="12">
        <v>43603</v>
      </c>
      <c r="T224" s="11"/>
      <c r="U224" s="12">
        <v>43736</v>
      </c>
      <c r="V224" s="11">
        <v>43718</v>
      </c>
      <c r="W224" s="12">
        <v>43602</v>
      </c>
      <c r="X224" s="11"/>
      <c r="Y224" s="12"/>
      <c r="Z224" s="11"/>
      <c r="AA224" s="12">
        <v>43673</v>
      </c>
      <c r="AB224" s="11"/>
      <c r="AC224" s="12">
        <v>43674</v>
      </c>
      <c r="AD224" s="34"/>
      <c r="AE224" s="33">
        <f t="shared" si="36"/>
        <v>43599</v>
      </c>
      <c r="AF224" s="33">
        <f t="shared" si="37"/>
        <v>43631</v>
      </c>
      <c r="AG224" s="33">
        <f t="shared" si="38"/>
        <v>43736</v>
      </c>
      <c r="AH224">
        <v>276</v>
      </c>
      <c r="AK224" s="36" t="str">
        <f t="shared" si="39"/>
        <v/>
      </c>
      <c r="AL224" t="str">
        <f t="shared" si="43"/>
        <v/>
      </c>
      <c r="AM224" t="s">
        <v>393</v>
      </c>
      <c r="AN224">
        <f t="shared" si="40"/>
        <v>137</v>
      </c>
      <c r="AO224" t="str">
        <f t="shared" si="41"/>
        <v>14.5.---15.6.---28.9.</v>
      </c>
      <c r="AP224" t="str">
        <f t="shared" si="42"/>
        <v>Kehrääjä</v>
      </c>
      <c r="AQ224" t="str">
        <f t="shared" si="44"/>
        <v>(14.5.---15.6.---28.9.)</v>
      </c>
    </row>
    <row r="225" spans="1:43" x14ac:dyDescent="0.2">
      <c r="A225" s="1"/>
      <c r="B225" s="9">
        <f t="shared" si="51"/>
        <v>220</v>
      </c>
      <c r="C225" s="10"/>
      <c r="D225" s="9" t="s">
        <v>217</v>
      </c>
      <c r="E225" s="10"/>
      <c r="F225" s="11">
        <v>43605</v>
      </c>
      <c r="G225" s="12">
        <v>43602</v>
      </c>
      <c r="H225" s="11">
        <v>43594</v>
      </c>
      <c r="I225" s="12">
        <v>43599</v>
      </c>
      <c r="J225" s="11">
        <v>43602</v>
      </c>
      <c r="K225" s="12">
        <v>43592</v>
      </c>
      <c r="L225" s="11">
        <v>43582</v>
      </c>
      <c r="M225" s="12">
        <v>43600</v>
      </c>
      <c r="N225" s="11">
        <v>43602</v>
      </c>
      <c r="O225" s="12">
        <v>43588</v>
      </c>
      <c r="P225" s="11">
        <v>43597</v>
      </c>
      <c r="Q225" s="12">
        <v>43597</v>
      </c>
      <c r="R225" s="11">
        <v>43595</v>
      </c>
      <c r="S225" s="12">
        <v>43596</v>
      </c>
      <c r="T225" s="11">
        <v>43592</v>
      </c>
      <c r="U225" s="12">
        <v>43602</v>
      </c>
      <c r="V225" s="11">
        <v>43595</v>
      </c>
      <c r="W225" s="12">
        <v>43599</v>
      </c>
      <c r="X225" s="11">
        <v>43593</v>
      </c>
      <c r="Y225" s="12">
        <v>43600</v>
      </c>
      <c r="Z225" s="11">
        <v>43596</v>
      </c>
      <c r="AA225" s="12">
        <v>43597</v>
      </c>
      <c r="AB225" s="11">
        <v>43603</v>
      </c>
      <c r="AC225" s="12">
        <v>43598</v>
      </c>
      <c r="AD225" s="34"/>
      <c r="AE225" s="33">
        <f t="shared" si="36"/>
        <v>43582</v>
      </c>
      <c r="AF225" s="33">
        <f t="shared" si="37"/>
        <v>43597</v>
      </c>
      <c r="AG225" s="33">
        <f t="shared" si="38"/>
        <v>43605</v>
      </c>
      <c r="AH225">
        <v>278</v>
      </c>
      <c r="AK225" s="36" t="str">
        <f t="shared" si="39"/>
        <v/>
      </c>
      <c r="AL225" t="str">
        <f t="shared" si="43"/>
        <v/>
      </c>
      <c r="AM225" t="s">
        <v>393</v>
      </c>
      <c r="AN225">
        <f t="shared" si="40"/>
        <v>23</v>
      </c>
      <c r="AO225" t="str">
        <f t="shared" si="41"/>
        <v>27.4.---12.5.---20.5.</v>
      </c>
      <c r="AP225" t="str">
        <f t="shared" si="42"/>
        <v>Tervapääsky</v>
      </c>
      <c r="AQ225" t="str">
        <f t="shared" si="44"/>
        <v>(27.4.---12.5.---20.5.)</v>
      </c>
    </row>
    <row r="226" spans="1:43" x14ac:dyDescent="0.2">
      <c r="A226" s="1"/>
      <c r="B226" s="9">
        <f t="shared" si="51"/>
        <v>221</v>
      </c>
      <c r="C226" s="10"/>
      <c r="D226" s="15" t="s">
        <v>218</v>
      </c>
      <c r="E226" s="16"/>
      <c r="F226" s="11"/>
      <c r="G226" s="12"/>
      <c r="H226" s="11"/>
      <c r="I226" s="12"/>
      <c r="J226" s="11"/>
      <c r="K226" s="12"/>
      <c r="L226" s="11"/>
      <c r="M226" s="12"/>
      <c r="N226" s="11"/>
      <c r="O226" s="12"/>
      <c r="P226" s="11"/>
      <c r="Q226" s="12"/>
      <c r="R226" s="11"/>
      <c r="S226" s="12"/>
      <c r="T226" s="11"/>
      <c r="U226" s="12"/>
      <c r="V226" s="11"/>
      <c r="W226" s="12"/>
      <c r="X226" s="11"/>
      <c r="Y226" s="12"/>
      <c r="Z226" s="11"/>
      <c r="AA226" s="12"/>
      <c r="AB226" s="11"/>
      <c r="AC226" s="12" t="s">
        <v>393</v>
      </c>
      <c r="AD226" s="34"/>
      <c r="AE226" s="33" t="str">
        <f t="shared" si="36"/>
        <v/>
      </c>
      <c r="AF226" s="33" t="str">
        <f t="shared" si="37"/>
        <v/>
      </c>
      <c r="AG226" s="33" t="str">
        <f t="shared" si="38"/>
        <v/>
      </c>
      <c r="AH226">
        <v>281</v>
      </c>
      <c r="AK226" s="36" t="str">
        <f t="shared" si="39"/>
        <v/>
      </c>
      <c r="AL226" t="str">
        <f t="shared" si="43"/>
        <v/>
      </c>
      <c r="AM226" t="s">
        <v>393</v>
      </c>
      <c r="AN226" t="e">
        <f t="shared" si="40"/>
        <v>#VALUE!</v>
      </c>
      <c r="AO226" t="str">
        <f t="shared" si="41"/>
        <v>------</v>
      </c>
      <c r="AP226" t="str">
        <f t="shared" si="42"/>
        <v>Häätökiitäjä</v>
      </c>
      <c r="AQ226" t="str">
        <f t="shared" si="44"/>
        <v>(------)</v>
      </c>
    </row>
    <row r="227" spans="1:43" x14ac:dyDescent="0.2">
      <c r="A227" s="1"/>
      <c r="B227" s="9">
        <f t="shared" si="51"/>
        <v>222</v>
      </c>
      <c r="C227" s="10"/>
      <c r="D227" s="9" t="s">
        <v>219</v>
      </c>
      <c r="E227" s="10"/>
      <c r="F227" s="11"/>
      <c r="G227" s="12"/>
      <c r="H227" s="11"/>
      <c r="I227" s="12">
        <v>43597</v>
      </c>
      <c r="J227" s="11"/>
      <c r="K227" s="12">
        <v>43599</v>
      </c>
      <c r="L227" s="11">
        <v>43611</v>
      </c>
      <c r="M227" s="12"/>
      <c r="N227" s="11">
        <v>43588</v>
      </c>
      <c r="O227" s="12"/>
      <c r="P227" s="11"/>
      <c r="Q227" s="12"/>
      <c r="R227" s="11">
        <v>43584</v>
      </c>
      <c r="S227" s="12">
        <v>43589</v>
      </c>
      <c r="T227" s="11">
        <v>43590</v>
      </c>
      <c r="U227" s="12">
        <v>43622</v>
      </c>
      <c r="V227" s="11"/>
      <c r="W227" s="12">
        <v>43613</v>
      </c>
      <c r="X227" s="11"/>
      <c r="Y227" s="12">
        <v>43667</v>
      </c>
      <c r="Z227" s="11">
        <v>43595</v>
      </c>
      <c r="AA227" s="12">
        <v>43636</v>
      </c>
      <c r="AB227" s="11">
        <v>43573</v>
      </c>
      <c r="AC227" s="12">
        <v>43617</v>
      </c>
      <c r="AD227" s="34"/>
      <c r="AE227" s="33">
        <f t="shared" si="36"/>
        <v>43573</v>
      </c>
      <c r="AF227" s="33">
        <f t="shared" si="37"/>
        <v>43598</v>
      </c>
      <c r="AG227" s="33">
        <f t="shared" si="38"/>
        <v>43667</v>
      </c>
      <c r="AH227">
        <v>282</v>
      </c>
      <c r="AK227" s="36" t="str">
        <f t="shared" si="39"/>
        <v/>
      </c>
      <c r="AL227" t="str">
        <f t="shared" si="43"/>
        <v/>
      </c>
      <c r="AM227" t="s">
        <v>393</v>
      </c>
      <c r="AN227">
        <f t="shared" si="40"/>
        <v>94</v>
      </c>
      <c r="AO227" t="str">
        <f t="shared" si="41"/>
        <v>18.4.---13.5.---21.7.</v>
      </c>
      <c r="AP227" t="str">
        <f t="shared" si="42"/>
        <v>Kuningaskalastaja</v>
      </c>
      <c r="AQ227" t="str">
        <f t="shared" si="44"/>
        <v>(18.4.---13.5.---21.7.)</v>
      </c>
    </row>
    <row r="228" spans="1:43" x14ac:dyDescent="0.2">
      <c r="A228" s="1"/>
      <c r="B228" s="9">
        <f t="shared" si="51"/>
        <v>223</v>
      </c>
      <c r="C228" s="10"/>
      <c r="D228" s="13" t="s">
        <v>220</v>
      </c>
      <c r="E228" s="14"/>
      <c r="F228" s="11"/>
      <c r="G228" s="12"/>
      <c r="H228" s="11"/>
      <c r="I228" s="12">
        <v>43641</v>
      </c>
      <c r="J228" s="11">
        <v>43611</v>
      </c>
      <c r="K228" s="12">
        <v>43604</v>
      </c>
      <c r="L228" s="11">
        <v>43612</v>
      </c>
      <c r="M228" s="12"/>
      <c r="N228" s="11"/>
      <c r="O228" s="12">
        <v>43587</v>
      </c>
      <c r="P228" s="11"/>
      <c r="Q228" s="12">
        <v>43608</v>
      </c>
      <c r="R228" s="11">
        <v>43623</v>
      </c>
      <c r="S228" s="12"/>
      <c r="T228" s="11"/>
      <c r="U228" s="12"/>
      <c r="V228" s="11"/>
      <c r="W228" s="12"/>
      <c r="X228" s="11"/>
      <c r="Y228" s="12"/>
      <c r="Z228" s="11"/>
      <c r="AA228" s="12">
        <v>43615</v>
      </c>
      <c r="AB228" s="11"/>
      <c r="AC228" s="12" t="s">
        <v>393</v>
      </c>
      <c r="AD228" s="34"/>
      <c r="AE228" s="33">
        <f t="shared" si="36"/>
        <v>43587</v>
      </c>
      <c r="AF228" s="33">
        <f t="shared" si="37"/>
        <v>43611.5</v>
      </c>
      <c r="AG228" s="33">
        <f t="shared" si="38"/>
        <v>43641</v>
      </c>
      <c r="AH228">
        <v>283</v>
      </c>
      <c r="AK228" s="36" t="str">
        <f t="shared" si="39"/>
        <v/>
      </c>
      <c r="AL228" t="str">
        <f t="shared" si="43"/>
        <v/>
      </c>
      <c r="AM228" t="s">
        <v>393</v>
      </c>
      <c r="AN228">
        <f t="shared" si="40"/>
        <v>54</v>
      </c>
      <c r="AO228" t="str">
        <f t="shared" si="41"/>
        <v>2.5.---26.5.---25.6.</v>
      </c>
      <c r="AP228" t="str">
        <f t="shared" si="42"/>
        <v>Mehiläissyöjä</v>
      </c>
      <c r="AQ228" t="str">
        <f t="shared" si="44"/>
        <v>(2.5.---26.5.---25.6.)</v>
      </c>
    </row>
    <row r="229" spans="1:43" x14ac:dyDescent="0.2">
      <c r="A229" s="1"/>
      <c r="B229" s="9">
        <f t="shared" si="51"/>
        <v>224</v>
      </c>
      <c r="C229" s="10"/>
      <c r="D229" s="13" t="s">
        <v>221</v>
      </c>
      <c r="E229" s="14"/>
      <c r="F229" s="11"/>
      <c r="G229" s="12"/>
      <c r="H229" s="11"/>
      <c r="I229" s="12">
        <v>43729</v>
      </c>
      <c r="J229" s="11"/>
      <c r="K229" s="12"/>
      <c r="L229" s="11"/>
      <c r="M229" s="12"/>
      <c r="N229" s="11"/>
      <c r="O229" s="12"/>
      <c r="P229" s="11"/>
      <c r="Q229" s="12"/>
      <c r="R229" s="11"/>
      <c r="S229" s="12"/>
      <c r="T229" s="11"/>
      <c r="U229" s="12"/>
      <c r="V229" s="11"/>
      <c r="W229" s="12"/>
      <c r="X229" s="11">
        <v>43617</v>
      </c>
      <c r="Y229" s="12"/>
      <c r="Z229" s="11"/>
      <c r="AA229" s="12"/>
      <c r="AB229" s="11"/>
      <c r="AC229" s="12" t="s">
        <v>393</v>
      </c>
      <c r="AD229" s="34"/>
      <c r="AE229" s="33">
        <f t="shared" si="36"/>
        <v>43617</v>
      </c>
      <c r="AF229" s="33">
        <f t="shared" si="37"/>
        <v>43673</v>
      </c>
      <c r="AG229" s="33">
        <f t="shared" si="38"/>
        <v>43729</v>
      </c>
      <c r="AH229">
        <v>285</v>
      </c>
      <c r="AK229" s="36" t="str">
        <f t="shared" si="39"/>
        <v/>
      </c>
      <c r="AL229" t="str">
        <f t="shared" si="43"/>
        <v/>
      </c>
      <c r="AM229" t="s">
        <v>393</v>
      </c>
      <c r="AN229">
        <f t="shared" si="40"/>
        <v>112</v>
      </c>
      <c r="AO229" t="str">
        <f t="shared" si="41"/>
        <v>1.6.---27.7.---21.9.</v>
      </c>
      <c r="AP229" t="str">
        <f t="shared" si="42"/>
        <v>Sininärhi</v>
      </c>
      <c r="AQ229" t="str">
        <f t="shared" si="44"/>
        <v>(1.6.---27.7.---21.9.)</v>
      </c>
    </row>
    <row r="230" spans="1:43" x14ac:dyDescent="0.2">
      <c r="A230" s="1"/>
      <c r="B230" s="9">
        <f t="shared" si="51"/>
        <v>225</v>
      </c>
      <c r="C230" s="10"/>
      <c r="D230" s="9" t="s">
        <v>222</v>
      </c>
      <c r="E230" s="10"/>
      <c r="F230" s="11">
        <v>43761</v>
      </c>
      <c r="G230" s="12">
        <v>43718</v>
      </c>
      <c r="H230" s="11">
        <v>43743</v>
      </c>
      <c r="I230" s="12">
        <v>43722</v>
      </c>
      <c r="J230" s="11">
        <v>43595</v>
      </c>
      <c r="K230" s="12">
        <v>43619</v>
      </c>
      <c r="L230" s="11">
        <v>43739</v>
      </c>
      <c r="M230" s="12">
        <v>43606</v>
      </c>
      <c r="N230" s="11">
        <v>43595</v>
      </c>
      <c r="O230" s="12">
        <v>43746</v>
      </c>
      <c r="P230" s="11">
        <v>43646</v>
      </c>
      <c r="Q230" s="12">
        <v>43578</v>
      </c>
      <c r="R230" s="11">
        <v>43743</v>
      </c>
      <c r="S230" s="12">
        <v>43719</v>
      </c>
      <c r="T230" s="11">
        <v>43586</v>
      </c>
      <c r="U230" s="12">
        <v>43763</v>
      </c>
      <c r="V230" s="11">
        <v>43590</v>
      </c>
      <c r="W230" s="12">
        <v>43729</v>
      </c>
      <c r="X230" s="11">
        <v>43655</v>
      </c>
      <c r="Y230" s="12">
        <v>43589</v>
      </c>
      <c r="Z230" s="11">
        <v>43587</v>
      </c>
      <c r="AA230" s="12">
        <v>43573</v>
      </c>
      <c r="AB230" s="11">
        <v>43726</v>
      </c>
      <c r="AC230" s="12">
        <v>43584</v>
      </c>
      <c r="AD230" s="34"/>
      <c r="AE230" s="33">
        <f t="shared" si="36"/>
        <v>43573</v>
      </c>
      <c r="AF230" s="33">
        <f t="shared" si="37"/>
        <v>43650.5</v>
      </c>
      <c r="AG230" s="33">
        <f t="shared" si="38"/>
        <v>43763</v>
      </c>
      <c r="AH230">
        <v>286</v>
      </c>
      <c r="AK230" s="36" t="str">
        <f t="shared" si="39"/>
        <v/>
      </c>
      <c r="AL230" t="str">
        <f t="shared" si="43"/>
        <v/>
      </c>
      <c r="AM230" t="s">
        <v>393</v>
      </c>
      <c r="AN230">
        <f t="shared" si="40"/>
        <v>190</v>
      </c>
      <c r="AO230" t="str">
        <f t="shared" si="41"/>
        <v>18.4.---4.7.---25.10.</v>
      </c>
      <c r="AP230" t="str">
        <f t="shared" si="42"/>
        <v>Harjalintu</v>
      </c>
      <c r="AQ230" t="str">
        <f t="shared" si="44"/>
        <v>(18.4.---4.7.---25.10.)</v>
      </c>
    </row>
    <row r="231" spans="1:43" x14ac:dyDescent="0.2">
      <c r="A231" s="1"/>
      <c r="B231" s="9">
        <f t="shared" si="51"/>
        <v>226</v>
      </c>
      <c r="C231" s="10"/>
      <c r="D231" s="9" t="s">
        <v>223</v>
      </c>
      <c r="E231" s="10"/>
      <c r="F231" s="11">
        <v>43583</v>
      </c>
      <c r="G231" s="12">
        <v>43584</v>
      </c>
      <c r="H231" s="11">
        <v>43586</v>
      </c>
      <c r="I231" s="12">
        <v>43583</v>
      </c>
      <c r="J231" s="11">
        <v>43584</v>
      </c>
      <c r="K231" s="12">
        <v>43578</v>
      </c>
      <c r="L231" s="11">
        <v>43583</v>
      </c>
      <c r="M231" s="12">
        <v>43585</v>
      </c>
      <c r="N231" s="11">
        <v>43584</v>
      </c>
      <c r="O231" s="12">
        <v>43580</v>
      </c>
      <c r="P231" s="11">
        <v>43589</v>
      </c>
      <c r="Q231" s="12">
        <v>43583</v>
      </c>
      <c r="R231" s="11">
        <v>43583</v>
      </c>
      <c r="S231" s="12">
        <v>43583</v>
      </c>
      <c r="T231" s="11">
        <v>43586</v>
      </c>
      <c r="U231" s="12">
        <v>43586</v>
      </c>
      <c r="V231" s="11">
        <v>43583</v>
      </c>
      <c r="W231" s="12">
        <v>43597</v>
      </c>
      <c r="X231" s="11">
        <v>43573</v>
      </c>
      <c r="Y231" s="12">
        <v>43581</v>
      </c>
      <c r="Z231" s="11">
        <v>43585</v>
      </c>
      <c r="AA231" s="12">
        <v>43590</v>
      </c>
      <c r="AB231" s="11">
        <v>43580</v>
      </c>
      <c r="AC231" s="12">
        <v>43590</v>
      </c>
      <c r="AD231" s="34"/>
      <c r="AE231" s="33">
        <f t="shared" si="36"/>
        <v>43573</v>
      </c>
      <c r="AF231" s="33">
        <f t="shared" si="37"/>
        <v>43583.5</v>
      </c>
      <c r="AG231" s="33">
        <f t="shared" si="38"/>
        <v>43597</v>
      </c>
      <c r="AH231">
        <v>287</v>
      </c>
      <c r="AK231" s="36" t="str">
        <f t="shared" si="39"/>
        <v/>
      </c>
      <c r="AL231" t="str">
        <f t="shared" si="43"/>
        <v/>
      </c>
      <c r="AM231" t="s">
        <v>393</v>
      </c>
      <c r="AN231">
        <f t="shared" si="40"/>
        <v>24</v>
      </c>
      <c r="AO231" t="str">
        <f t="shared" si="41"/>
        <v>18.4.---28.4.---12.5.</v>
      </c>
      <c r="AP231" t="str">
        <f t="shared" si="42"/>
        <v>Käenpiika</v>
      </c>
      <c r="AQ231" t="str">
        <f t="shared" si="44"/>
        <v>(18.4.---28.4.---12.5.)</v>
      </c>
    </row>
    <row r="232" spans="1:43" x14ac:dyDescent="0.2">
      <c r="A232" s="1"/>
      <c r="B232" s="9">
        <f t="shared" si="51"/>
        <v>227</v>
      </c>
      <c r="C232" s="10"/>
      <c r="D232" s="9" t="s">
        <v>224</v>
      </c>
      <c r="E232" s="10"/>
      <c r="F232" s="11">
        <v>43479</v>
      </c>
      <c r="G232" s="12">
        <v>43546</v>
      </c>
      <c r="H232" s="11">
        <v>43466</v>
      </c>
      <c r="I232" s="12">
        <v>43466</v>
      </c>
      <c r="J232" s="11">
        <v>43466</v>
      </c>
      <c r="K232" s="12">
        <v>43466</v>
      </c>
      <c r="L232" s="11">
        <v>43469</v>
      </c>
      <c r="M232" s="12">
        <v>43466</v>
      </c>
      <c r="N232" s="11">
        <v>43466</v>
      </c>
      <c r="O232" s="12">
        <v>43466</v>
      </c>
      <c r="P232" s="11">
        <v>43466</v>
      </c>
      <c r="Q232" s="12">
        <v>43466</v>
      </c>
      <c r="R232" s="11">
        <v>43475</v>
      </c>
      <c r="S232" s="12">
        <v>43466</v>
      </c>
      <c r="T232" s="11">
        <v>43469</v>
      </c>
      <c r="U232" s="12">
        <v>43466</v>
      </c>
      <c r="V232" s="11">
        <v>43466</v>
      </c>
      <c r="W232" s="12">
        <v>43466</v>
      </c>
      <c r="X232" s="11">
        <v>43466</v>
      </c>
      <c r="Y232" s="12">
        <v>43466</v>
      </c>
      <c r="Z232" s="11">
        <v>43466</v>
      </c>
      <c r="AA232" s="12">
        <v>43466</v>
      </c>
      <c r="AB232" s="11">
        <v>43466</v>
      </c>
      <c r="AC232" s="12">
        <v>43466</v>
      </c>
      <c r="AD232" s="34"/>
      <c r="AE232" s="33">
        <f t="shared" si="36"/>
        <v>43466</v>
      </c>
      <c r="AF232" s="33">
        <f t="shared" si="37"/>
        <v>43466</v>
      </c>
      <c r="AG232" s="33">
        <f t="shared" si="38"/>
        <v>43546</v>
      </c>
      <c r="AH232">
        <v>288</v>
      </c>
      <c r="AK232" s="36" t="str">
        <f t="shared" si="39"/>
        <v/>
      </c>
      <c r="AL232">
        <f t="shared" si="43"/>
        <v>20</v>
      </c>
      <c r="AM232">
        <v>20</v>
      </c>
      <c r="AN232">
        <f t="shared" si="40"/>
        <v>80</v>
      </c>
      <c r="AO232" t="str">
        <f t="shared" si="41"/>
        <v>1.1.---1.1.---22.3.</v>
      </c>
      <c r="AP232" t="str">
        <f t="shared" si="42"/>
        <v>Harmaapäätikka</v>
      </c>
      <c r="AQ232" t="str">
        <f t="shared" si="44"/>
        <v>(1.1.---1.1.---22.3., 20/21)</v>
      </c>
    </row>
    <row r="233" spans="1:43" x14ac:dyDescent="0.2">
      <c r="A233" s="1"/>
      <c r="B233" s="9">
        <f t="shared" si="51"/>
        <v>228</v>
      </c>
      <c r="C233" s="10"/>
      <c r="D233" s="9" t="s">
        <v>225</v>
      </c>
      <c r="E233" s="10"/>
      <c r="F233" s="11"/>
      <c r="G233" s="12"/>
      <c r="H233" s="11">
        <v>43466</v>
      </c>
      <c r="I233" s="12">
        <v>43469</v>
      </c>
      <c r="J233" s="11">
        <v>43467</v>
      </c>
      <c r="K233" s="12">
        <v>43466</v>
      </c>
      <c r="L233" s="11">
        <v>43466</v>
      </c>
      <c r="M233" s="12">
        <v>43466</v>
      </c>
      <c r="N233" s="11">
        <v>43466</v>
      </c>
      <c r="O233" s="12">
        <v>43466</v>
      </c>
      <c r="P233" s="11">
        <v>43471</v>
      </c>
      <c r="Q233" s="12">
        <v>43466</v>
      </c>
      <c r="R233" s="11">
        <v>43466</v>
      </c>
      <c r="S233" s="12">
        <v>43467</v>
      </c>
      <c r="T233" s="11">
        <v>43466</v>
      </c>
      <c r="U233" s="12">
        <v>43466</v>
      </c>
      <c r="V233" s="11">
        <v>43466</v>
      </c>
      <c r="W233" s="12">
        <v>43466</v>
      </c>
      <c r="X233" s="11">
        <v>43466</v>
      </c>
      <c r="Y233" s="12">
        <v>43466</v>
      </c>
      <c r="Z233" s="11">
        <v>43466</v>
      </c>
      <c r="AA233" s="12">
        <v>43466</v>
      </c>
      <c r="AB233" s="11">
        <v>43466</v>
      </c>
      <c r="AC233" s="12">
        <v>43466</v>
      </c>
      <c r="AD233" s="34"/>
      <c r="AE233" s="33">
        <f t="shared" si="36"/>
        <v>43466</v>
      </c>
      <c r="AF233" s="33">
        <f t="shared" si="37"/>
        <v>43466</v>
      </c>
      <c r="AG233" s="33">
        <f t="shared" si="38"/>
        <v>43471</v>
      </c>
      <c r="AH233">
        <v>290</v>
      </c>
      <c r="AK233" s="36" t="str">
        <f t="shared" si="39"/>
        <v/>
      </c>
      <c r="AL233">
        <f t="shared" si="43"/>
        <v>19</v>
      </c>
      <c r="AM233">
        <v>19</v>
      </c>
      <c r="AN233">
        <f t="shared" si="40"/>
        <v>5</v>
      </c>
      <c r="AO233" t="str">
        <f t="shared" si="41"/>
        <v>1.1.---1.1.---6.1.</v>
      </c>
      <c r="AP233" t="str">
        <f t="shared" si="42"/>
        <v>Palokärki</v>
      </c>
      <c r="AQ233" t="str">
        <f t="shared" si="44"/>
        <v>(1.1.---1.1.---6.1., 19/21)</v>
      </c>
    </row>
    <row r="234" spans="1:43" x14ac:dyDescent="0.2">
      <c r="A234" s="1"/>
      <c r="B234" s="9">
        <f t="shared" si="51"/>
        <v>229</v>
      </c>
      <c r="C234" s="10"/>
      <c r="D234" s="9" t="s">
        <v>226</v>
      </c>
      <c r="E234" s="10"/>
      <c r="F234" s="11"/>
      <c r="G234" s="12"/>
      <c r="H234" s="11">
        <v>43466</v>
      </c>
      <c r="I234" s="12">
        <v>43466</v>
      </c>
      <c r="J234" s="11">
        <v>43466</v>
      </c>
      <c r="K234" s="12">
        <v>43466</v>
      </c>
      <c r="L234" s="11">
        <v>43466</v>
      </c>
      <c r="M234" s="12">
        <v>43466</v>
      </c>
      <c r="N234" s="11">
        <v>43466</v>
      </c>
      <c r="O234" s="12">
        <v>43466</v>
      </c>
      <c r="P234" s="11">
        <v>43466</v>
      </c>
      <c r="Q234" s="12">
        <v>43466</v>
      </c>
      <c r="R234" s="11">
        <v>43466</v>
      </c>
      <c r="S234" s="12">
        <v>43466</v>
      </c>
      <c r="T234" s="11">
        <v>43466</v>
      </c>
      <c r="U234" s="12">
        <v>43466</v>
      </c>
      <c r="V234" s="11">
        <v>43466</v>
      </c>
      <c r="W234" s="12">
        <v>43466</v>
      </c>
      <c r="X234" s="11">
        <v>43466</v>
      </c>
      <c r="Y234" s="12">
        <v>43466</v>
      </c>
      <c r="Z234" s="11">
        <v>43466</v>
      </c>
      <c r="AA234" s="12">
        <v>43466</v>
      </c>
      <c r="AB234" s="11">
        <v>43466</v>
      </c>
      <c r="AC234" s="12">
        <v>43466</v>
      </c>
      <c r="AD234" s="34"/>
      <c r="AE234" s="33">
        <f t="shared" si="36"/>
        <v>43466</v>
      </c>
      <c r="AF234" s="33">
        <f t="shared" si="37"/>
        <v>43466</v>
      </c>
      <c r="AG234" s="33">
        <f t="shared" si="38"/>
        <v>43466</v>
      </c>
      <c r="AH234">
        <v>291</v>
      </c>
      <c r="AK234" s="36" t="str">
        <f t="shared" si="39"/>
        <v/>
      </c>
      <c r="AL234">
        <f t="shared" si="43"/>
        <v>19</v>
      </c>
      <c r="AM234">
        <v>19</v>
      </c>
      <c r="AN234">
        <f t="shared" si="40"/>
        <v>0</v>
      </c>
      <c r="AO234" t="str">
        <f t="shared" si="41"/>
        <v>1.1.---1.1.---1.1.</v>
      </c>
      <c r="AP234" t="str">
        <f t="shared" si="42"/>
        <v>Käpytikka</v>
      </c>
      <c r="AQ234" t="str">
        <f t="shared" si="44"/>
        <v>(1.1.---1.1.---1.1., 19/21)</v>
      </c>
    </row>
    <row r="235" spans="1:43" x14ac:dyDescent="0.2">
      <c r="A235" s="1"/>
      <c r="B235" s="9">
        <f t="shared" si="51"/>
        <v>230</v>
      </c>
      <c r="C235" s="10"/>
      <c r="D235" s="9" t="s">
        <v>227</v>
      </c>
      <c r="E235" s="10"/>
      <c r="F235" s="11"/>
      <c r="G235" s="12"/>
      <c r="H235" s="11"/>
      <c r="I235" s="12"/>
      <c r="J235" s="11">
        <v>43747</v>
      </c>
      <c r="K235" s="12">
        <v>43475</v>
      </c>
      <c r="L235" s="11">
        <v>43568</v>
      </c>
      <c r="M235" s="12">
        <v>43521</v>
      </c>
      <c r="N235" s="11">
        <v>43499</v>
      </c>
      <c r="O235" s="12">
        <v>43502</v>
      </c>
      <c r="P235" s="11">
        <v>43469</v>
      </c>
      <c r="Q235" s="12">
        <v>43495</v>
      </c>
      <c r="R235" s="11">
        <v>43528</v>
      </c>
      <c r="S235" s="12">
        <v>43466</v>
      </c>
      <c r="T235" s="11">
        <v>43466</v>
      </c>
      <c r="U235" s="12">
        <v>43466</v>
      </c>
      <c r="V235" s="11">
        <v>43466</v>
      </c>
      <c r="W235" s="12">
        <v>43466</v>
      </c>
      <c r="X235" s="11">
        <v>43466</v>
      </c>
      <c r="Y235" s="12">
        <v>43467</v>
      </c>
      <c r="Z235" s="11">
        <v>43466</v>
      </c>
      <c r="AA235" s="12">
        <v>43466</v>
      </c>
      <c r="AB235" s="11">
        <v>43466</v>
      </c>
      <c r="AC235" s="12">
        <v>43467</v>
      </c>
      <c r="AD235" s="34"/>
      <c r="AE235" s="33">
        <f t="shared" si="36"/>
        <v>43466</v>
      </c>
      <c r="AF235" s="33">
        <f t="shared" si="37"/>
        <v>43467</v>
      </c>
      <c r="AG235" s="33">
        <f t="shared" si="38"/>
        <v>43747</v>
      </c>
      <c r="AH235">
        <v>293</v>
      </c>
      <c r="AK235" s="36" t="str">
        <f t="shared" si="39"/>
        <v/>
      </c>
      <c r="AL235">
        <f t="shared" si="43"/>
        <v>14</v>
      </c>
      <c r="AM235">
        <v>14</v>
      </c>
      <c r="AN235">
        <f t="shared" si="40"/>
        <v>281</v>
      </c>
      <c r="AO235" t="str">
        <f t="shared" si="41"/>
        <v>1.1.---2.1.---9.10.</v>
      </c>
      <c r="AP235" t="str">
        <f t="shared" si="42"/>
        <v>Valkoselkätikka</v>
      </c>
      <c r="AQ235" t="str">
        <f t="shared" si="44"/>
        <v>(1.1.---2.1.---9.10., 14/21)</v>
      </c>
    </row>
    <row r="236" spans="1:43" x14ac:dyDescent="0.2">
      <c r="A236" s="1"/>
      <c r="B236" s="9">
        <f t="shared" si="51"/>
        <v>231</v>
      </c>
      <c r="C236" s="10"/>
      <c r="D236" s="9" t="s">
        <v>228</v>
      </c>
      <c r="E236" s="10"/>
      <c r="F236" s="11"/>
      <c r="G236" s="12"/>
      <c r="H236" s="11">
        <v>43466</v>
      </c>
      <c r="I236" s="12">
        <v>43492</v>
      </c>
      <c r="J236" s="11">
        <v>43466</v>
      </c>
      <c r="K236" s="12">
        <v>43466</v>
      </c>
      <c r="L236" s="11">
        <v>43466</v>
      </c>
      <c r="M236" s="12">
        <v>43471</v>
      </c>
      <c r="N236" s="11">
        <v>43466</v>
      </c>
      <c r="O236" s="12">
        <v>43467</v>
      </c>
      <c r="P236" s="11">
        <v>43466</v>
      </c>
      <c r="Q236" s="12">
        <v>43466</v>
      </c>
      <c r="R236" s="11">
        <v>43468</v>
      </c>
      <c r="S236" s="12">
        <v>43469</v>
      </c>
      <c r="T236" s="11">
        <v>43469</v>
      </c>
      <c r="U236" s="12">
        <v>43468</v>
      </c>
      <c r="V236" s="11">
        <v>43467</v>
      </c>
      <c r="W236" s="12">
        <v>43467</v>
      </c>
      <c r="X236" s="11">
        <v>43466</v>
      </c>
      <c r="Y236" s="12">
        <v>43467</v>
      </c>
      <c r="Z236" s="11">
        <v>43466</v>
      </c>
      <c r="AA236" s="12">
        <v>43466</v>
      </c>
      <c r="AB236" s="11">
        <v>43466</v>
      </c>
      <c r="AC236" s="12">
        <v>43468</v>
      </c>
      <c r="AD236" s="34"/>
      <c r="AE236" s="33">
        <f t="shared" si="36"/>
        <v>43466</v>
      </c>
      <c r="AF236" s="33">
        <f t="shared" si="37"/>
        <v>43466.5</v>
      </c>
      <c r="AG236" s="33">
        <f t="shared" si="38"/>
        <v>43492</v>
      </c>
      <c r="AH236">
        <v>294</v>
      </c>
      <c r="AK236" s="36" t="str">
        <f t="shared" si="39"/>
        <v/>
      </c>
      <c r="AL236">
        <f t="shared" si="43"/>
        <v>19</v>
      </c>
      <c r="AM236">
        <v>19</v>
      </c>
      <c r="AN236">
        <f t="shared" si="40"/>
        <v>26</v>
      </c>
      <c r="AO236" t="str">
        <f t="shared" si="41"/>
        <v>1.1.---1.1.---27.1.</v>
      </c>
      <c r="AP236" t="str">
        <f t="shared" si="42"/>
        <v>Pikkutikka</v>
      </c>
      <c r="AQ236" t="str">
        <f t="shared" si="44"/>
        <v>(1.1.---1.1.---27.1., 19/21)</v>
      </c>
    </row>
    <row r="237" spans="1:43" x14ac:dyDescent="0.2">
      <c r="A237" s="1"/>
      <c r="B237" s="9">
        <f t="shared" si="51"/>
        <v>232</v>
      </c>
      <c r="C237" s="10"/>
      <c r="D237" s="9" t="s">
        <v>229</v>
      </c>
      <c r="E237" s="10"/>
      <c r="F237" s="11"/>
      <c r="G237" s="12">
        <v>43466</v>
      </c>
      <c r="H237" s="11">
        <v>43482</v>
      </c>
      <c r="I237" s="12">
        <v>43466</v>
      </c>
      <c r="J237" s="11">
        <v>43466</v>
      </c>
      <c r="K237" s="12">
        <v>43467</v>
      </c>
      <c r="L237" s="11">
        <v>43469</v>
      </c>
      <c r="M237" s="12">
        <v>43466</v>
      </c>
      <c r="N237" s="11">
        <v>43466</v>
      </c>
      <c r="O237" s="12">
        <v>43466</v>
      </c>
      <c r="P237" s="11">
        <v>43470</v>
      </c>
      <c r="Q237" s="12">
        <v>43466</v>
      </c>
      <c r="R237" s="11">
        <v>43466</v>
      </c>
      <c r="S237" s="12">
        <v>43467</v>
      </c>
      <c r="T237" s="11">
        <v>43466</v>
      </c>
      <c r="U237" s="12">
        <v>43466</v>
      </c>
      <c r="V237" s="11">
        <v>43466</v>
      </c>
      <c r="W237" s="12">
        <v>43466</v>
      </c>
      <c r="X237" s="11">
        <v>43466</v>
      </c>
      <c r="Y237" s="12">
        <v>43468</v>
      </c>
      <c r="Z237" s="11">
        <v>43468</v>
      </c>
      <c r="AA237" s="12">
        <v>43467</v>
      </c>
      <c r="AB237" s="11">
        <v>43466</v>
      </c>
      <c r="AC237" s="12">
        <v>43468</v>
      </c>
      <c r="AD237" s="34"/>
      <c r="AE237" s="33">
        <f t="shared" si="36"/>
        <v>43466</v>
      </c>
      <c r="AF237" s="33">
        <f t="shared" si="37"/>
        <v>43466</v>
      </c>
      <c r="AG237" s="33">
        <f t="shared" si="38"/>
        <v>43482</v>
      </c>
      <c r="AH237">
        <v>295</v>
      </c>
      <c r="AK237" s="36" t="str">
        <f t="shared" si="39"/>
        <v/>
      </c>
      <c r="AL237">
        <f t="shared" si="43"/>
        <v>20</v>
      </c>
      <c r="AM237">
        <v>20</v>
      </c>
      <c r="AN237">
        <f t="shared" si="40"/>
        <v>16</v>
      </c>
      <c r="AO237" t="str">
        <f t="shared" si="41"/>
        <v>1.1.---1.1.---17.1.</v>
      </c>
      <c r="AP237" t="str">
        <f t="shared" si="42"/>
        <v>Pohjantikka</v>
      </c>
      <c r="AQ237" t="str">
        <f t="shared" si="44"/>
        <v>(1.1.---1.1.---17.1., 20/21)</v>
      </c>
    </row>
    <row r="238" spans="1:43" x14ac:dyDescent="0.2">
      <c r="A238" s="1"/>
      <c r="B238" s="9">
        <f t="shared" si="51"/>
        <v>233</v>
      </c>
      <c r="C238" s="10"/>
      <c r="D238" s="15" t="s">
        <v>230</v>
      </c>
      <c r="E238" s="16"/>
      <c r="F238" s="11"/>
      <c r="G238" s="12"/>
      <c r="H238" s="11"/>
      <c r="I238" s="12"/>
      <c r="J238" s="11"/>
      <c r="K238" s="12"/>
      <c r="L238" s="11"/>
      <c r="M238" s="12"/>
      <c r="N238" s="11"/>
      <c r="O238" s="12"/>
      <c r="P238" s="11"/>
      <c r="Q238" s="12"/>
      <c r="R238" s="11"/>
      <c r="S238" s="12"/>
      <c r="T238" s="11"/>
      <c r="U238" s="12"/>
      <c r="V238" s="11"/>
      <c r="W238" s="12"/>
      <c r="X238" s="11"/>
      <c r="Y238" s="12"/>
      <c r="Z238" s="11"/>
      <c r="AA238" s="12"/>
      <c r="AB238" s="11"/>
      <c r="AC238" s="12" t="s">
        <v>393</v>
      </c>
      <c r="AD238" s="34"/>
      <c r="AE238" s="33" t="str">
        <f t="shared" si="36"/>
        <v/>
      </c>
      <c r="AF238" s="33" t="str">
        <f t="shared" si="37"/>
        <v/>
      </c>
      <c r="AG238" s="33" t="str">
        <f t="shared" si="38"/>
        <v/>
      </c>
      <c r="AH238">
        <v>296</v>
      </c>
      <c r="AK238" s="36" t="str">
        <f t="shared" si="39"/>
        <v/>
      </c>
      <c r="AL238" t="str">
        <f t="shared" si="43"/>
        <v/>
      </c>
      <c r="AM238" t="s">
        <v>393</v>
      </c>
      <c r="AN238" t="e">
        <f t="shared" si="40"/>
        <v>#VALUE!</v>
      </c>
      <c r="AO238" t="str">
        <f t="shared" si="41"/>
        <v>------</v>
      </c>
      <c r="AP238" t="str">
        <f t="shared" si="42"/>
        <v>Arokiuru</v>
      </c>
      <c r="AQ238" t="str">
        <f t="shared" si="44"/>
        <v>(------)</v>
      </c>
    </row>
    <row r="239" spans="1:43" x14ac:dyDescent="0.2">
      <c r="A239" s="1"/>
      <c r="B239" s="9">
        <f t="shared" si="51"/>
        <v>234</v>
      </c>
      <c r="C239" s="10"/>
      <c r="D239" s="13" t="s">
        <v>231</v>
      </c>
      <c r="E239" s="14"/>
      <c r="F239" s="11"/>
      <c r="G239" s="12"/>
      <c r="H239" s="11"/>
      <c r="I239" s="12">
        <v>43617</v>
      </c>
      <c r="J239" s="11"/>
      <c r="K239" s="12">
        <v>43742</v>
      </c>
      <c r="L239" s="11"/>
      <c r="M239" s="12">
        <v>43614</v>
      </c>
      <c r="N239" s="11"/>
      <c r="O239" s="12">
        <v>43602</v>
      </c>
      <c r="P239" s="11"/>
      <c r="Q239" s="12">
        <v>43679</v>
      </c>
      <c r="R239" s="11"/>
      <c r="S239" s="12"/>
      <c r="T239" s="11"/>
      <c r="U239" s="12"/>
      <c r="V239" s="11"/>
      <c r="W239" s="12"/>
      <c r="X239" s="11"/>
      <c r="Y239" s="12"/>
      <c r="Z239" s="11"/>
      <c r="AA239" s="12"/>
      <c r="AB239" s="11">
        <v>43637</v>
      </c>
      <c r="AC239" s="12" t="s">
        <v>393</v>
      </c>
      <c r="AD239" s="34"/>
      <c r="AE239" s="33">
        <f t="shared" si="36"/>
        <v>43602</v>
      </c>
      <c r="AF239" s="33">
        <f t="shared" si="37"/>
        <v>43627</v>
      </c>
      <c r="AG239" s="33">
        <f t="shared" si="38"/>
        <v>43742</v>
      </c>
      <c r="AH239">
        <v>300</v>
      </c>
      <c r="AK239" s="36" t="str">
        <f t="shared" si="39"/>
        <v/>
      </c>
      <c r="AL239" t="str">
        <f t="shared" si="43"/>
        <v/>
      </c>
      <c r="AM239" t="s">
        <v>393</v>
      </c>
      <c r="AN239">
        <f t="shared" si="40"/>
        <v>140</v>
      </c>
      <c r="AO239" t="str">
        <f t="shared" si="41"/>
        <v>17.5.---11.6.---4.10.</v>
      </c>
      <c r="AP239" t="str">
        <f t="shared" si="42"/>
        <v>Lyhytvarvaskiuru</v>
      </c>
      <c r="AQ239" t="str">
        <f t="shared" si="44"/>
        <v>(17.5.---11.6.---4.10.)</v>
      </c>
    </row>
    <row r="240" spans="1:43" x14ac:dyDescent="0.2">
      <c r="A240" s="1"/>
      <c r="B240" s="9">
        <f t="shared" si="51"/>
        <v>235</v>
      </c>
      <c r="C240" s="10"/>
      <c r="D240" s="15" t="s">
        <v>232</v>
      </c>
      <c r="E240" s="16"/>
      <c r="F240" s="11"/>
      <c r="G240" s="12"/>
      <c r="H240" s="11"/>
      <c r="I240" s="12"/>
      <c r="J240" s="11">
        <v>43733</v>
      </c>
      <c r="K240" s="12"/>
      <c r="L240" s="11"/>
      <c r="M240" s="12"/>
      <c r="N240" s="11"/>
      <c r="O240" s="12"/>
      <c r="P240" s="11"/>
      <c r="Q240" s="12"/>
      <c r="R240" s="11"/>
      <c r="S240" s="12"/>
      <c r="T240" s="11"/>
      <c r="U240" s="12"/>
      <c r="V240" s="11"/>
      <c r="W240" s="12"/>
      <c r="X240" s="11"/>
      <c r="Y240" s="12"/>
      <c r="Z240" s="11"/>
      <c r="AA240" s="12"/>
      <c r="AB240" s="11"/>
      <c r="AC240" s="12" t="s">
        <v>393</v>
      </c>
      <c r="AD240" s="34"/>
      <c r="AE240" s="33">
        <f t="shared" si="36"/>
        <v>43733</v>
      </c>
      <c r="AF240" s="33">
        <f t="shared" si="37"/>
        <v>43733</v>
      </c>
      <c r="AG240" s="33">
        <f t="shared" si="38"/>
        <v>43733</v>
      </c>
      <c r="AH240">
        <v>301</v>
      </c>
      <c r="AK240" s="36" t="str">
        <f t="shared" si="39"/>
        <v/>
      </c>
      <c r="AL240" t="str">
        <f t="shared" si="43"/>
        <v/>
      </c>
      <c r="AM240" t="s">
        <v>393</v>
      </c>
      <c r="AN240">
        <f t="shared" si="40"/>
        <v>0</v>
      </c>
      <c r="AO240" t="str">
        <f t="shared" si="41"/>
        <v>25.9.---25.9.---25.9.</v>
      </c>
      <c r="AP240" t="str">
        <f t="shared" si="42"/>
        <v>Pikkukiuru</v>
      </c>
      <c r="AQ240" t="str">
        <f t="shared" si="44"/>
        <v>(25.9.---25.9.---25.9.)</v>
      </c>
    </row>
    <row r="241" spans="1:43" x14ac:dyDescent="0.2">
      <c r="A241" s="1"/>
      <c r="B241" s="9">
        <f t="shared" si="51"/>
        <v>236</v>
      </c>
      <c r="C241" s="10"/>
      <c r="D241" s="15" t="s">
        <v>233</v>
      </c>
      <c r="E241" s="16"/>
      <c r="F241" s="11"/>
      <c r="G241" s="12"/>
      <c r="H241" s="11"/>
      <c r="I241" s="12">
        <v>43474</v>
      </c>
      <c r="J241" s="11"/>
      <c r="K241" s="12"/>
      <c r="L241" s="11"/>
      <c r="M241" s="12"/>
      <c r="N241" s="11"/>
      <c r="O241" s="12"/>
      <c r="P241" s="11"/>
      <c r="Q241" s="12"/>
      <c r="R241" s="11"/>
      <c r="S241" s="12"/>
      <c r="T241" s="11"/>
      <c r="U241" s="12"/>
      <c r="V241" s="11"/>
      <c r="W241" s="12"/>
      <c r="X241" s="11"/>
      <c r="Y241" s="12"/>
      <c r="Z241" s="11"/>
      <c r="AA241" s="12"/>
      <c r="AB241" s="11"/>
      <c r="AC241" s="12" t="s">
        <v>393</v>
      </c>
      <c r="AD241" s="34"/>
      <c r="AE241" s="33">
        <f t="shared" si="36"/>
        <v>43474</v>
      </c>
      <c r="AF241" s="33">
        <f t="shared" si="37"/>
        <v>43474</v>
      </c>
      <c r="AG241" s="33">
        <f t="shared" si="38"/>
        <v>43474</v>
      </c>
      <c r="AH241">
        <v>302</v>
      </c>
      <c r="AK241" s="36" t="str">
        <f t="shared" si="39"/>
        <v/>
      </c>
      <c r="AL241">
        <f t="shared" si="43"/>
        <v>1</v>
      </c>
      <c r="AM241">
        <v>1</v>
      </c>
      <c r="AN241">
        <f t="shared" si="40"/>
        <v>0</v>
      </c>
      <c r="AO241" t="str">
        <f t="shared" si="41"/>
        <v>9.1.---9.1.---9.1.</v>
      </c>
      <c r="AP241" t="str">
        <f t="shared" si="42"/>
        <v>Töyhtökiuru</v>
      </c>
      <c r="AQ241" t="str">
        <f t="shared" si="44"/>
        <v>(9.1.---9.1.---9.1., 1/21)</v>
      </c>
    </row>
    <row r="242" spans="1:43" x14ac:dyDescent="0.2">
      <c r="A242" s="1"/>
      <c r="B242" s="9">
        <f t="shared" si="51"/>
        <v>237</v>
      </c>
      <c r="C242" s="10"/>
      <c r="D242" s="9" t="s">
        <v>234</v>
      </c>
      <c r="E242" s="10"/>
      <c r="F242" s="11"/>
      <c r="G242" s="12"/>
      <c r="H242" s="11">
        <v>43561</v>
      </c>
      <c r="I242" s="12">
        <v>43573</v>
      </c>
      <c r="J242" s="11">
        <v>43558</v>
      </c>
      <c r="K242" s="12">
        <v>43560</v>
      </c>
      <c r="L242" s="11">
        <v>43569</v>
      </c>
      <c r="M242" s="12">
        <v>43547</v>
      </c>
      <c r="N242" s="11">
        <v>43557</v>
      </c>
      <c r="O242" s="12">
        <v>43560</v>
      </c>
      <c r="P242" s="11">
        <f>IF(AG1,DATE(2019,1,2),DATE(2019,4,1))</f>
        <v>43556</v>
      </c>
      <c r="Q242" s="12">
        <v>43564</v>
      </c>
      <c r="R242" s="11">
        <v>43562</v>
      </c>
      <c r="S242" s="12">
        <v>43572</v>
      </c>
      <c r="T242" s="11">
        <v>43546</v>
      </c>
      <c r="U242" s="12">
        <v>43538</v>
      </c>
      <c r="V242" s="11">
        <v>43552</v>
      </c>
      <c r="W242" s="12">
        <v>43561</v>
      </c>
      <c r="X242" s="11">
        <v>43566</v>
      </c>
      <c r="Y242" s="12">
        <v>43555</v>
      </c>
      <c r="Z242" s="11">
        <v>43546</v>
      </c>
      <c r="AA242" s="12">
        <v>43552</v>
      </c>
      <c r="AB242" s="11">
        <v>43569</v>
      </c>
      <c r="AC242" s="12">
        <v>43564</v>
      </c>
      <c r="AD242" s="34"/>
      <c r="AE242" s="33">
        <f t="shared" si="36"/>
        <v>43538</v>
      </c>
      <c r="AF242" s="33">
        <f t="shared" si="37"/>
        <v>43560</v>
      </c>
      <c r="AG242" s="33">
        <f t="shared" si="38"/>
        <v>43573</v>
      </c>
      <c r="AH242">
        <v>303</v>
      </c>
      <c r="AK242" s="36" t="str">
        <f t="shared" si="39"/>
        <v/>
      </c>
      <c r="AL242" t="str">
        <f t="shared" si="43"/>
        <v/>
      </c>
      <c r="AM242">
        <v>1</v>
      </c>
      <c r="AN242">
        <f t="shared" si="40"/>
        <v>35</v>
      </c>
      <c r="AO242" t="str">
        <f t="shared" si="41"/>
        <v>14.3.---5.4.---18.4.</v>
      </c>
      <c r="AP242" t="str">
        <f t="shared" si="42"/>
        <v>Kangaskiuru</v>
      </c>
      <c r="AQ242" t="str">
        <f t="shared" si="44"/>
        <v>(14.3.---5.4.---18.4., 1/21)</v>
      </c>
    </row>
    <row r="243" spans="1:43" x14ac:dyDescent="0.2">
      <c r="A243" s="1"/>
      <c r="B243" s="9">
        <f t="shared" si="51"/>
        <v>238</v>
      </c>
      <c r="C243" s="10"/>
      <c r="D243" s="9" t="s">
        <v>235</v>
      </c>
      <c r="E243" s="10"/>
      <c r="F243" s="11">
        <v>43545</v>
      </c>
      <c r="G243" s="12">
        <f>IF(AG1,DATE(2019,1,6),DATE(2019,3,27))</f>
        <v>43551</v>
      </c>
      <c r="H243" s="11">
        <v>43542</v>
      </c>
      <c r="I243" s="12">
        <v>43548</v>
      </c>
      <c r="J243" s="11">
        <v>43553</v>
      </c>
      <c r="K243" s="12">
        <v>43551</v>
      </c>
      <c r="L243" s="11">
        <v>43559</v>
      </c>
      <c r="M243" s="12">
        <f>IF(AG1,DATE(2019,1,1),DATE(2019,3,13))</f>
        <v>43537</v>
      </c>
      <c r="N243" s="11">
        <v>43534</v>
      </c>
      <c r="O243" s="12">
        <v>43541</v>
      </c>
      <c r="P243" s="11">
        <v>43556</v>
      </c>
      <c r="Q243" s="12">
        <v>43551</v>
      </c>
      <c r="R243" s="11">
        <v>43540</v>
      </c>
      <c r="S243" s="12">
        <v>43551</v>
      </c>
      <c r="T243" s="11">
        <f>IF(AG1,DATE(2019,2,6),DATE(2019,3,10))</f>
        <v>43534</v>
      </c>
      <c r="U243" s="12">
        <v>43533</v>
      </c>
      <c r="V243" s="11">
        <v>43540</v>
      </c>
      <c r="W243" s="12">
        <v>43540</v>
      </c>
      <c r="X243" s="11">
        <v>43560</v>
      </c>
      <c r="Y243" s="12">
        <v>43544</v>
      </c>
      <c r="Z243" s="11">
        <v>43533</v>
      </c>
      <c r="AA243" s="12">
        <v>43548</v>
      </c>
      <c r="AB243" s="11">
        <v>43539</v>
      </c>
      <c r="AC243" s="12">
        <v>43560</v>
      </c>
      <c r="AD243" s="34"/>
      <c r="AE243" s="33">
        <f t="shared" si="36"/>
        <v>43533</v>
      </c>
      <c r="AF243" s="33">
        <f t="shared" si="37"/>
        <v>43544.5</v>
      </c>
      <c r="AG243" s="33">
        <f t="shared" si="38"/>
        <v>43560</v>
      </c>
      <c r="AH243">
        <v>304</v>
      </c>
      <c r="AK243" s="36" t="str">
        <f t="shared" si="39"/>
        <v/>
      </c>
      <c r="AL243" t="str">
        <f t="shared" si="43"/>
        <v/>
      </c>
      <c r="AM243">
        <v>3</v>
      </c>
      <c r="AN243">
        <f t="shared" si="40"/>
        <v>27</v>
      </c>
      <c r="AO243" t="str">
        <f t="shared" si="41"/>
        <v>9.3.---20.3.---5.4.</v>
      </c>
      <c r="AP243" t="str">
        <f t="shared" si="42"/>
        <v>Kiuru</v>
      </c>
      <c r="AQ243" t="str">
        <f t="shared" si="44"/>
        <v>(9.3.---20.3.---5.4., 3/21)</v>
      </c>
    </row>
    <row r="244" spans="1:43" x14ac:dyDescent="0.2">
      <c r="A244" s="1"/>
      <c r="B244" s="9">
        <f t="shared" si="51"/>
        <v>239</v>
      </c>
      <c r="C244" s="10"/>
      <c r="D244" s="9" t="s">
        <v>236</v>
      </c>
      <c r="E244" s="10"/>
      <c r="F244" s="11">
        <v>43574</v>
      </c>
      <c r="G244" s="12">
        <v>43571</v>
      </c>
      <c r="H244" s="11">
        <v>43573</v>
      </c>
      <c r="I244" s="12">
        <f>IF(AG1,DATE(2019,1,1),DATE(2019,4,21))</f>
        <v>43576</v>
      </c>
      <c r="J244" s="11">
        <f>IF(AG1,DATE(2019,1,10),DATE(2019,4,11))</f>
        <v>43566</v>
      </c>
      <c r="K244" s="12">
        <v>43565</v>
      </c>
      <c r="L244" s="11">
        <v>43745</v>
      </c>
      <c r="M244" s="12">
        <f>IF(AG1,DATE(2019,1,31),DATE(2019,4,1))</f>
        <v>43556</v>
      </c>
      <c r="N244" s="11">
        <v>43561</v>
      </c>
      <c r="O244" s="12">
        <v>43530</v>
      </c>
      <c r="P244" s="11">
        <v>43575</v>
      </c>
      <c r="Q244" s="12">
        <v>43579</v>
      </c>
      <c r="R244" s="11">
        <v>43567</v>
      </c>
      <c r="S244" s="12">
        <f>IF(AG1,DATE(2019,1,15),DATE(2019,5,11))</f>
        <v>43596</v>
      </c>
      <c r="T244" s="11">
        <v>43553</v>
      </c>
      <c r="U244" s="12">
        <v>43560</v>
      </c>
      <c r="V244" s="11">
        <v>43568</v>
      </c>
      <c r="W244" s="12">
        <v>43567</v>
      </c>
      <c r="X244" s="11">
        <v>43568</v>
      </c>
      <c r="Y244" s="12">
        <v>43561</v>
      </c>
      <c r="Z244" s="11">
        <v>43551</v>
      </c>
      <c r="AA244" s="12">
        <v>43555</v>
      </c>
      <c r="AB244" s="11">
        <v>43571</v>
      </c>
      <c r="AC244" s="12">
        <v>43565</v>
      </c>
      <c r="AD244" s="34"/>
      <c r="AE244" s="33">
        <f t="shared" si="36"/>
        <v>43530</v>
      </c>
      <c r="AF244" s="33">
        <f t="shared" si="37"/>
        <v>43567</v>
      </c>
      <c r="AG244" s="33">
        <f t="shared" si="38"/>
        <v>43745</v>
      </c>
      <c r="AH244">
        <v>305</v>
      </c>
      <c r="AK244" s="36" t="str">
        <f t="shared" si="39"/>
        <v/>
      </c>
      <c r="AL244" t="str">
        <f t="shared" si="43"/>
        <v/>
      </c>
      <c r="AM244">
        <v>4</v>
      </c>
      <c r="AN244">
        <f t="shared" si="40"/>
        <v>215</v>
      </c>
      <c r="AO244" t="str">
        <f t="shared" si="41"/>
        <v>6.3.---12.4.---7.10.</v>
      </c>
      <c r="AP244" t="str">
        <f t="shared" si="42"/>
        <v>Tunturikiuru</v>
      </c>
      <c r="AQ244" t="str">
        <f t="shared" si="44"/>
        <v>(6.3.---12.4.---7.10., 4/21)</v>
      </c>
    </row>
    <row r="245" spans="1:43" x14ac:dyDescent="0.2">
      <c r="A245" s="1"/>
      <c r="B245" s="9">
        <f t="shared" si="51"/>
        <v>240</v>
      </c>
      <c r="C245" s="10"/>
      <c r="D245" s="9" t="s">
        <v>237</v>
      </c>
      <c r="E245" s="10"/>
      <c r="F245" s="11">
        <v>43593</v>
      </c>
      <c r="G245" s="12">
        <v>43589</v>
      </c>
      <c r="H245" s="11">
        <v>43587</v>
      </c>
      <c r="I245" s="12">
        <v>43592</v>
      </c>
      <c r="J245" s="11">
        <v>43588</v>
      </c>
      <c r="K245" s="12">
        <v>43592</v>
      </c>
      <c r="L245" s="11">
        <v>43590</v>
      </c>
      <c r="M245" s="12">
        <v>43580</v>
      </c>
      <c r="N245" s="11">
        <v>43585</v>
      </c>
      <c r="O245" s="12">
        <v>43587</v>
      </c>
      <c r="P245" s="11">
        <v>43596</v>
      </c>
      <c r="Q245" s="12">
        <v>43592</v>
      </c>
      <c r="R245" s="11">
        <v>43590</v>
      </c>
      <c r="S245" s="12">
        <v>43592</v>
      </c>
      <c r="T245" s="11">
        <v>43585</v>
      </c>
      <c r="U245" s="12">
        <v>43588</v>
      </c>
      <c r="V245" s="11">
        <v>43588</v>
      </c>
      <c r="W245" s="12">
        <v>43591</v>
      </c>
      <c r="X245" s="11">
        <v>43590</v>
      </c>
      <c r="Y245" s="12">
        <v>43594</v>
      </c>
      <c r="Z245" s="11">
        <v>43588</v>
      </c>
      <c r="AA245" s="12">
        <v>43596</v>
      </c>
      <c r="AB245" s="11">
        <v>43591</v>
      </c>
      <c r="AC245" s="12">
        <v>43585</v>
      </c>
      <c r="AD245" s="34"/>
      <c r="AE245" s="33">
        <f t="shared" si="36"/>
        <v>43580</v>
      </c>
      <c r="AF245" s="33">
        <f t="shared" si="37"/>
        <v>43590</v>
      </c>
      <c r="AG245" s="33">
        <f t="shared" si="38"/>
        <v>43596</v>
      </c>
      <c r="AH245">
        <v>306</v>
      </c>
      <c r="AK245" s="36" t="str">
        <f t="shared" si="39"/>
        <v/>
      </c>
      <c r="AL245" t="str">
        <f t="shared" si="43"/>
        <v/>
      </c>
      <c r="AM245" t="s">
        <v>393</v>
      </c>
      <c r="AN245">
        <f t="shared" si="40"/>
        <v>16</v>
      </c>
      <c r="AO245" t="str">
        <f t="shared" si="41"/>
        <v>25.4.---5.5.---11.5.</v>
      </c>
      <c r="AP245" t="str">
        <f t="shared" si="42"/>
        <v>Törmäpääsky</v>
      </c>
      <c r="AQ245" t="str">
        <f t="shared" si="44"/>
        <v>(25.4.---5.5.---11.5.)</v>
      </c>
    </row>
    <row r="246" spans="1:43" x14ac:dyDescent="0.2">
      <c r="A246" s="1"/>
      <c r="B246" s="9">
        <f t="shared" si="51"/>
        <v>241</v>
      </c>
      <c r="C246" s="10"/>
      <c r="D246" s="9" t="s">
        <v>238</v>
      </c>
      <c r="E246" s="10"/>
      <c r="F246" s="11">
        <v>43573</v>
      </c>
      <c r="G246" s="12">
        <v>43582</v>
      </c>
      <c r="H246" s="11">
        <v>43578</v>
      </c>
      <c r="I246" s="12">
        <v>43586</v>
      </c>
      <c r="J246" s="11">
        <v>43571</v>
      </c>
      <c r="K246" s="12">
        <v>43582</v>
      </c>
      <c r="L246" s="11">
        <v>43579</v>
      </c>
      <c r="M246" s="12">
        <v>43572</v>
      </c>
      <c r="N246" s="11">
        <v>43580</v>
      </c>
      <c r="O246" s="12">
        <v>43580</v>
      </c>
      <c r="P246" s="11">
        <v>43580</v>
      </c>
      <c r="Q246" s="12">
        <v>43572</v>
      </c>
      <c r="R246" s="11">
        <v>43578</v>
      </c>
      <c r="S246" s="12">
        <v>43572</v>
      </c>
      <c r="T246" s="11">
        <v>43575</v>
      </c>
      <c r="U246" s="12">
        <v>43573</v>
      </c>
      <c r="V246" s="11">
        <v>43573</v>
      </c>
      <c r="W246" s="12">
        <v>43575</v>
      </c>
      <c r="X246" s="11">
        <v>43570</v>
      </c>
      <c r="Y246" s="12">
        <v>43576</v>
      </c>
      <c r="Z246" s="11">
        <v>43575</v>
      </c>
      <c r="AA246" s="12">
        <v>43583</v>
      </c>
      <c r="AB246" s="11">
        <v>43586</v>
      </c>
      <c r="AC246" s="12">
        <v>43571</v>
      </c>
      <c r="AD246" s="34"/>
      <c r="AE246" s="33">
        <f t="shared" si="36"/>
        <v>43570</v>
      </c>
      <c r="AF246" s="33">
        <f t="shared" si="37"/>
        <v>43575.5</v>
      </c>
      <c r="AG246" s="33">
        <f t="shared" si="38"/>
        <v>43586</v>
      </c>
      <c r="AH246">
        <v>308</v>
      </c>
      <c r="AK246" s="36" t="str">
        <f t="shared" si="39"/>
        <v/>
      </c>
      <c r="AL246" t="str">
        <f t="shared" si="43"/>
        <v/>
      </c>
      <c r="AM246" t="s">
        <v>393</v>
      </c>
      <c r="AN246">
        <f t="shared" si="40"/>
        <v>16</v>
      </c>
      <c r="AO246" t="str">
        <f t="shared" si="41"/>
        <v>15.4.---20.4.---1.5.</v>
      </c>
      <c r="AP246" t="str">
        <f t="shared" si="42"/>
        <v>Haarapääsky</v>
      </c>
      <c r="AQ246" t="str">
        <f t="shared" si="44"/>
        <v>(15.4.---20.4.---1.5.)</v>
      </c>
    </row>
    <row r="247" spans="1:43" x14ac:dyDescent="0.2">
      <c r="A247" s="1"/>
      <c r="B247" s="9">
        <f t="shared" si="51"/>
        <v>242</v>
      </c>
      <c r="C247" s="10"/>
      <c r="D247" s="9" t="s">
        <v>239</v>
      </c>
      <c r="E247" s="10"/>
      <c r="F247" s="11">
        <v>43588</v>
      </c>
      <c r="G247" s="12">
        <v>43584</v>
      </c>
      <c r="H247" s="11">
        <v>43588</v>
      </c>
      <c r="I247" s="12">
        <v>43578</v>
      </c>
      <c r="J247" s="11">
        <v>43586</v>
      </c>
      <c r="K247" s="12">
        <v>43588</v>
      </c>
      <c r="L247" s="11">
        <v>43583</v>
      </c>
      <c r="M247" s="12">
        <v>43583</v>
      </c>
      <c r="N247" s="11">
        <v>43581</v>
      </c>
      <c r="O247" s="12">
        <v>43581</v>
      </c>
      <c r="P247" s="11">
        <v>43585</v>
      </c>
      <c r="Q247" s="12">
        <v>43578</v>
      </c>
      <c r="R247" s="11">
        <v>43578</v>
      </c>
      <c r="S247" s="12">
        <v>43588</v>
      </c>
      <c r="T247" s="11">
        <v>43575</v>
      </c>
      <c r="U247" s="12">
        <v>43584</v>
      </c>
      <c r="V247" s="11">
        <v>43585</v>
      </c>
      <c r="W247" s="12">
        <v>43588</v>
      </c>
      <c r="X247" s="11">
        <v>43590</v>
      </c>
      <c r="Y247" s="12">
        <v>43583</v>
      </c>
      <c r="Z247" s="11">
        <v>43586</v>
      </c>
      <c r="AA247" s="12">
        <v>43588</v>
      </c>
      <c r="AB247" s="11">
        <v>43587</v>
      </c>
      <c r="AC247" s="12">
        <v>43585</v>
      </c>
      <c r="AD247" s="34"/>
      <c r="AE247" s="33">
        <f t="shared" si="36"/>
        <v>43575</v>
      </c>
      <c r="AF247" s="33">
        <f t="shared" si="37"/>
        <v>43585</v>
      </c>
      <c r="AG247" s="33">
        <f t="shared" si="38"/>
        <v>43590</v>
      </c>
      <c r="AH247">
        <v>309</v>
      </c>
      <c r="AK247" s="36" t="str">
        <f t="shared" si="39"/>
        <v/>
      </c>
      <c r="AL247" t="str">
        <f t="shared" si="43"/>
        <v/>
      </c>
      <c r="AM247" t="s">
        <v>393</v>
      </c>
      <c r="AN247">
        <f t="shared" si="40"/>
        <v>15</v>
      </c>
      <c r="AO247" t="str">
        <f t="shared" si="41"/>
        <v>20.4.---30.4.---5.5.</v>
      </c>
      <c r="AP247" t="str">
        <f t="shared" si="42"/>
        <v>Räystäspääsky</v>
      </c>
      <c r="AQ247" t="str">
        <f t="shared" si="44"/>
        <v>(20.4.---30.4.---5.5.)</v>
      </c>
    </row>
    <row r="248" spans="1:43" x14ac:dyDescent="0.2">
      <c r="A248" s="1"/>
      <c r="B248" s="9">
        <f t="shared" si="51"/>
        <v>243</v>
      </c>
      <c r="C248" s="10"/>
      <c r="D248" s="15" t="s">
        <v>240</v>
      </c>
      <c r="E248" s="16"/>
      <c r="F248" s="11"/>
      <c r="G248" s="12"/>
      <c r="H248" s="11"/>
      <c r="I248" s="12"/>
      <c r="J248" s="11">
        <v>43612</v>
      </c>
      <c r="K248" s="12"/>
      <c r="L248" s="11"/>
      <c r="M248" s="12">
        <v>43594</v>
      </c>
      <c r="N248" s="11"/>
      <c r="O248" s="12"/>
      <c r="P248" s="11"/>
      <c r="Q248" s="12"/>
      <c r="R248" s="11"/>
      <c r="S248" s="12">
        <v>43595</v>
      </c>
      <c r="T248" s="11">
        <v>43604</v>
      </c>
      <c r="U248" s="12">
        <v>43609</v>
      </c>
      <c r="V248" s="11"/>
      <c r="W248" s="12"/>
      <c r="X248" s="11"/>
      <c r="Y248" s="12"/>
      <c r="Z248" s="11"/>
      <c r="AA248" s="12"/>
      <c r="AB248" s="11"/>
      <c r="AC248" s="12" t="s">
        <v>393</v>
      </c>
      <c r="AD248" s="34"/>
      <c r="AE248" s="33">
        <f t="shared" si="36"/>
        <v>43594</v>
      </c>
      <c r="AF248" s="33">
        <f t="shared" si="37"/>
        <v>43604</v>
      </c>
      <c r="AG248" s="33">
        <f t="shared" si="38"/>
        <v>43612</v>
      </c>
      <c r="AH248">
        <v>310</v>
      </c>
      <c r="AK248" s="36" t="str">
        <f t="shared" si="39"/>
        <v/>
      </c>
      <c r="AL248" t="str">
        <f t="shared" si="43"/>
        <v/>
      </c>
      <c r="AM248" t="s">
        <v>393</v>
      </c>
      <c r="AN248">
        <f t="shared" si="40"/>
        <v>18</v>
      </c>
      <c r="AO248" t="str">
        <f t="shared" si="41"/>
        <v>9.5.---19.5.---27.5.</v>
      </c>
      <c r="AP248" t="str">
        <f t="shared" si="42"/>
        <v>Ruostepääsky</v>
      </c>
      <c r="AQ248" t="str">
        <f t="shared" si="44"/>
        <v>(9.5.---19.5.---27.5.)</v>
      </c>
    </row>
    <row r="249" spans="1:43" x14ac:dyDescent="0.2">
      <c r="A249" s="1"/>
      <c r="B249" s="9">
        <f t="shared" si="51"/>
        <v>244</v>
      </c>
      <c r="C249" s="10"/>
      <c r="D249" s="13" t="s">
        <v>241</v>
      </c>
      <c r="E249" s="14"/>
      <c r="F249" s="11"/>
      <c r="G249" s="12"/>
      <c r="H249" s="11"/>
      <c r="I249" s="12">
        <v>43718</v>
      </c>
      <c r="J249" s="11"/>
      <c r="K249" s="12">
        <v>43720</v>
      </c>
      <c r="L249" s="11"/>
      <c r="M249" s="12"/>
      <c r="N249" s="11"/>
      <c r="O249" s="12"/>
      <c r="P249" s="11"/>
      <c r="Q249" s="12">
        <v>43733</v>
      </c>
      <c r="R249" s="11">
        <v>43727</v>
      </c>
      <c r="S249" s="12"/>
      <c r="T249" s="11"/>
      <c r="U249" s="12">
        <v>43720</v>
      </c>
      <c r="V249" s="11"/>
      <c r="W249" s="12">
        <v>43722</v>
      </c>
      <c r="X249" s="11">
        <v>43713</v>
      </c>
      <c r="Y249" s="12"/>
      <c r="Z249" s="11">
        <v>43748</v>
      </c>
      <c r="AA249" s="12"/>
      <c r="AB249" s="11"/>
      <c r="AC249" s="12" t="s">
        <v>393</v>
      </c>
      <c r="AD249" s="34"/>
      <c r="AE249" s="33">
        <f t="shared" si="36"/>
        <v>43713</v>
      </c>
      <c r="AF249" s="33">
        <f t="shared" si="37"/>
        <v>43721</v>
      </c>
      <c r="AG249" s="33">
        <f t="shared" si="38"/>
        <v>43748</v>
      </c>
      <c r="AH249">
        <v>311</v>
      </c>
      <c r="AK249" s="36" t="str">
        <f t="shared" si="39"/>
        <v/>
      </c>
      <c r="AL249" t="str">
        <f t="shared" si="43"/>
        <v/>
      </c>
      <c r="AM249" t="s">
        <v>393</v>
      </c>
      <c r="AN249">
        <f t="shared" si="40"/>
        <v>35</v>
      </c>
      <c r="AO249" t="str">
        <f t="shared" si="41"/>
        <v>5.9.---13.9.---10.10.</v>
      </c>
      <c r="AP249" t="str">
        <f t="shared" si="42"/>
        <v>Isokirvinen</v>
      </c>
      <c r="AQ249" t="str">
        <f t="shared" si="44"/>
        <v>(5.9.---13.9.---10.10.)</v>
      </c>
    </row>
    <row r="250" spans="1:43" x14ac:dyDescent="0.2">
      <c r="A250" s="1"/>
      <c r="B250" s="9">
        <f t="shared" si="51"/>
        <v>245</v>
      </c>
      <c r="C250" s="10"/>
      <c r="D250" s="15" t="s">
        <v>242</v>
      </c>
      <c r="E250" s="16"/>
      <c r="F250" s="11"/>
      <c r="G250" s="12"/>
      <c r="H250" s="11"/>
      <c r="I250" s="12"/>
      <c r="J250" s="11"/>
      <c r="K250" s="12">
        <v>43782</v>
      </c>
      <c r="L250" s="11"/>
      <c r="M250" s="12"/>
      <c r="N250" s="11"/>
      <c r="O250" s="12">
        <v>43773</v>
      </c>
      <c r="P250" s="11"/>
      <c r="Q250" s="12"/>
      <c r="R250" s="11"/>
      <c r="S250" s="12"/>
      <c r="T250" s="11"/>
      <c r="U250" s="12"/>
      <c r="V250" s="11"/>
      <c r="W250" s="12"/>
      <c r="X250" s="11"/>
      <c r="Y250" s="12"/>
      <c r="Z250" s="11"/>
      <c r="AA250" s="12"/>
      <c r="AB250" s="11"/>
      <c r="AC250" s="12" t="s">
        <v>393</v>
      </c>
      <c r="AD250" s="34"/>
      <c r="AE250" s="33">
        <f t="shared" si="36"/>
        <v>43773</v>
      </c>
      <c r="AF250" s="33">
        <f t="shared" si="37"/>
        <v>43777.5</v>
      </c>
      <c r="AG250" s="33">
        <f t="shared" si="38"/>
        <v>43782</v>
      </c>
      <c r="AH250">
        <v>312</v>
      </c>
      <c r="AK250" s="36" t="str">
        <f t="shared" si="39"/>
        <v/>
      </c>
      <c r="AL250" t="str">
        <f t="shared" si="43"/>
        <v/>
      </c>
      <c r="AM250" t="s">
        <v>393</v>
      </c>
      <c r="AN250">
        <f t="shared" si="40"/>
        <v>9</v>
      </c>
      <c r="AO250" t="str">
        <f t="shared" si="41"/>
        <v>4.11.---8.11.---13.11.</v>
      </c>
      <c r="AP250" t="str">
        <f t="shared" si="42"/>
        <v>Mongoliankirvinen</v>
      </c>
      <c r="AQ250" t="str">
        <f t="shared" si="44"/>
        <v>(4.11.---8.11.---13.11.)</v>
      </c>
    </row>
    <row r="251" spans="1:43" x14ac:dyDescent="0.2">
      <c r="A251" s="1"/>
      <c r="B251" s="9">
        <f t="shared" si="51"/>
        <v>246</v>
      </c>
      <c r="C251" s="10"/>
      <c r="D251" s="15" t="s">
        <v>243</v>
      </c>
      <c r="E251" s="16"/>
      <c r="F251" s="11"/>
      <c r="G251" s="12"/>
      <c r="H251" s="11"/>
      <c r="I251" s="12"/>
      <c r="J251" s="11"/>
      <c r="K251" s="12"/>
      <c r="L251" s="11"/>
      <c r="M251" s="12"/>
      <c r="N251" s="11"/>
      <c r="O251" s="12"/>
      <c r="P251" s="11"/>
      <c r="Q251" s="12"/>
      <c r="R251" s="11"/>
      <c r="S251" s="12"/>
      <c r="T251" s="11"/>
      <c r="U251" s="12"/>
      <c r="V251" s="11"/>
      <c r="W251" s="12"/>
      <c r="X251" s="11"/>
      <c r="Y251" s="12"/>
      <c r="Z251" s="11"/>
      <c r="AA251" s="12"/>
      <c r="AB251" s="11"/>
      <c r="AC251" s="12" t="s">
        <v>393</v>
      </c>
      <c r="AD251" s="34"/>
      <c r="AE251" s="33" t="str">
        <f t="shared" si="36"/>
        <v/>
      </c>
      <c r="AF251" s="33" t="str">
        <f t="shared" si="37"/>
        <v/>
      </c>
      <c r="AG251" s="33" t="str">
        <f t="shared" si="38"/>
        <v/>
      </c>
      <c r="AH251">
        <v>313</v>
      </c>
      <c r="AK251" s="36" t="str">
        <f t="shared" si="39"/>
        <v/>
      </c>
      <c r="AL251" t="str">
        <f t="shared" si="43"/>
        <v/>
      </c>
      <c r="AM251" t="s">
        <v>393</v>
      </c>
      <c r="AN251" t="e">
        <f t="shared" si="40"/>
        <v>#VALUE!</v>
      </c>
      <c r="AO251" t="str">
        <f t="shared" si="41"/>
        <v>------</v>
      </c>
      <c r="AP251" t="str">
        <f t="shared" si="42"/>
        <v>Nummikirvinen</v>
      </c>
      <c r="AQ251" t="str">
        <f t="shared" si="44"/>
        <v>(------)</v>
      </c>
    </row>
    <row r="252" spans="1:43" x14ac:dyDescent="0.2">
      <c r="A252" s="1"/>
      <c r="B252" s="9"/>
      <c r="C252" s="10"/>
      <c r="D252" s="22" t="s">
        <v>244</v>
      </c>
      <c r="E252" s="16" t="s">
        <v>245</v>
      </c>
      <c r="F252" s="11"/>
      <c r="G252" s="12"/>
      <c r="H252" s="11"/>
      <c r="I252" s="12"/>
      <c r="J252" s="11"/>
      <c r="K252" s="12"/>
      <c r="L252" s="11"/>
      <c r="M252" s="12"/>
      <c r="N252" s="11"/>
      <c r="O252" s="12"/>
      <c r="P252" s="11"/>
      <c r="Q252" s="12"/>
      <c r="R252" s="11"/>
      <c r="S252" s="12"/>
      <c r="T252" s="11"/>
      <c r="U252" s="12"/>
      <c r="V252" s="11"/>
      <c r="W252" s="12"/>
      <c r="X252" s="11"/>
      <c r="Y252" s="12"/>
      <c r="Z252" s="11"/>
      <c r="AA252" s="12"/>
      <c r="AB252" s="11">
        <v>43718</v>
      </c>
      <c r="AC252" s="12" t="s">
        <v>393</v>
      </c>
      <c r="AD252" s="34"/>
      <c r="AE252" s="33">
        <f t="shared" si="36"/>
        <v>43718</v>
      </c>
      <c r="AF252" s="33">
        <f t="shared" si="37"/>
        <v>43718</v>
      </c>
      <c r="AG252" s="33">
        <f t="shared" si="38"/>
        <v>43718</v>
      </c>
      <c r="AH252">
        <v>313.10000000000002</v>
      </c>
      <c r="AK252" s="36" t="str">
        <f t="shared" si="39"/>
        <v/>
      </c>
      <c r="AL252" t="str">
        <f t="shared" si="43"/>
        <v/>
      </c>
      <c r="AM252" t="s">
        <v>393</v>
      </c>
      <c r="AN252">
        <f t="shared" si="40"/>
        <v>0</v>
      </c>
      <c r="AO252" t="str">
        <f t="shared" si="41"/>
        <v>10.9.---10.9.---10.9.</v>
      </c>
      <c r="AP252" t="str">
        <f t="shared" si="42"/>
        <v>isokirvinen / mongoliankirvinen / nummikirvinen</v>
      </c>
      <c r="AQ252" t="str">
        <f t="shared" si="44"/>
        <v>(10.9.---10.9.---10.9.)</v>
      </c>
    </row>
    <row r="253" spans="1:43" x14ac:dyDescent="0.2">
      <c r="A253" s="1"/>
      <c r="B253" s="9">
        <f>B251+1</f>
        <v>247</v>
      </c>
      <c r="C253" s="10"/>
      <c r="D253" s="15" t="s">
        <v>246</v>
      </c>
      <c r="E253" s="16"/>
      <c r="F253" s="11"/>
      <c r="G253" s="12"/>
      <c r="H253" s="11"/>
      <c r="I253" s="12"/>
      <c r="J253" s="11"/>
      <c r="K253" s="12"/>
      <c r="L253" s="11"/>
      <c r="M253" s="12"/>
      <c r="N253" s="11">
        <v>43740</v>
      </c>
      <c r="O253" s="12">
        <v>43728</v>
      </c>
      <c r="P253" s="11">
        <v>43744</v>
      </c>
      <c r="Q253" s="12">
        <v>43737</v>
      </c>
      <c r="R253" s="11"/>
      <c r="S253" s="12">
        <v>43745</v>
      </c>
      <c r="T253" s="11">
        <v>43717</v>
      </c>
      <c r="U253" s="12">
        <v>43748</v>
      </c>
      <c r="V253" s="11">
        <v>43719</v>
      </c>
      <c r="W253" s="12">
        <v>43739</v>
      </c>
      <c r="X253" s="11"/>
      <c r="Y253" s="12">
        <v>43737</v>
      </c>
      <c r="Z253" s="11"/>
      <c r="AA253" s="12">
        <v>43736</v>
      </c>
      <c r="AB253" s="11"/>
      <c r="AC253" s="12" t="s">
        <v>393</v>
      </c>
      <c r="AD253" s="34"/>
      <c r="AE253" s="33">
        <f t="shared" si="36"/>
        <v>43717</v>
      </c>
      <c r="AF253" s="33">
        <f t="shared" si="37"/>
        <v>43737</v>
      </c>
      <c r="AG253" s="33">
        <f t="shared" si="38"/>
        <v>43748</v>
      </c>
      <c r="AH253">
        <v>314</v>
      </c>
      <c r="AK253" s="36" t="str">
        <f t="shared" si="39"/>
        <v/>
      </c>
      <c r="AL253" t="str">
        <f t="shared" si="43"/>
        <v/>
      </c>
      <c r="AM253" t="s">
        <v>393</v>
      </c>
      <c r="AN253">
        <f t="shared" si="40"/>
        <v>31</v>
      </c>
      <c r="AO253" t="str">
        <f t="shared" si="41"/>
        <v>9.9.---29.9.---10.10.</v>
      </c>
      <c r="AP253" t="str">
        <f t="shared" si="42"/>
        <v>Taigakirvinen</v>
      </c>
      <c r="AQ253" t="str">
        <f t="shared" si="44"/>
        <v>(9.9.---29.9.---10.10.)</v>
      </c>
    </row>
    <row r="254" spans="1:43" x14ac:dyDescent="0.2">
      <c r="A254" s="1"/>
      <c r="B254" s="9">
        <f t="shared" ref="B254:B285" si="52">B253+1</f>
        <v>248</v>
      </c>
      <c r="C254" s="10"/>
      <c r="D254" s="9" t="s">
        <v>247</v>
      </c>
      <c r="E254" s="10"/>
      <c r="F254" s="11">
        <v>43574</v>
      </c>
      <c r="G254" s="12">
        <v>43582</v>
      </c>
      <c r="H254" s="11">
        <v>43580</v>
      </c>
      <c r="I254" s="12">
        <v>43577</v>
      </c>
      <c r="J254" s="11">
        <v>43578</v>
      </c>
      <c r="K254" s="12">
        <v>43572</v>
      </c>
      <c r="L254" s="11">
        <v>43577</v>
      </c>
      <c r="M254" s="12">
        <v>43570</v>
      </c>
      <c r="N254" s="11">
        <v>43578</v>
      </c>
      <c r="O254" s="12">
        <v>43581</v>
      </c>
      <c r="P254" s="11">
        <v>43573</v>
      </c>
      <c r="Q254" s="12">
        <v>43574</v>
      </c>
      <c r="R254" s="11">
        <v>43578</v>
      </c>
      <c r="S254" s="12">
        <v>43577</v>
      </c>
      <c r="T254" s="11">
        <v>43571</v>
      </c>
      <c r="U254" s="12">
        <v>43574</v>
      </c>
      <c r="V254" s="11">
        <v>43573</v>
      </c>
      <c r="W254" s="12">
        <v>43587</v>
      </c>
      <c r="X254" s="11">
        <v>43570</v>
      </c>
      <c r="Y254" s="12">
        <v>43576</v>
      </c>
      <c r="Z254" s="11">
        <v>43574</v>
      </c>
      <c r="AA254" s="12">
        <v>43576</v>
      </c>
      <c r="AB254" s="11">
        <v>43590</v>
      </c>
      <c r="AC254" s="12">
        <v>43570</v>
      </c>
      <c r="AD254" s="34"/>
      <c r="AE254" s="33">
        <f t="shared" si="36"/>
        <v>43570</v>
      </c>
      <c r="AF254" s="33">
        <f t="shared" si="37"/>
        <v>43576</v>
      </c>
      <c r="AG254" s="33">
        <f t="shared" si="38"/>
        <v>43590</v>
      </c>
      <c r="AH254">
        <v>315</v>
      </c>
      <c r="AK254" s="36" t="str">
        <f t="shared" si="39"/>
        <v/>
      </c>
      <c r="AL254" t="str">
        <f t="shared" si="43"/>
        <v/>
      </c>
      <c r="AM254" t="s">
        <v>393</v>
      </c>
      <c r="AN254">
        <f t="shared" si="40"/>
        <v>20</v>
      </c>
      <c r="AO254" t="str">
        <f t="shared" si="41"/>
        <v>15.4.---21.4.---5.5.</v>
      </c>
      <c r="AP254" t="str">
        <f t="shared" si="42"/>
        <v>Metsäkirvinen</v>
      </c>
      <c r="AQ254" t="str">
        <f t="shared" si="44"/>
        <v>(15.4.---21.4.---5.5.)</v>
      </c>
    </row>
    <row r="255" spans="1:43" x14ac:dyDescent="0.2">
      <c r="A255" s="1"/>
      <c r="B255" s="9">
        <f t="shared" si="52"/>
        <v>249</v>
      </c>
      <c r="C255" s="10"/>
      <c r="D255" s="9" t="s">
        <v>248</v>
      </c>
      <c r="E255" s="10"/>
      <c r="F255" s="11">
        <v>43563</v>
      </c>
      <c r="G255" s="12">
        <v>43557</v>
      </c>
      <c r="H255" s="11">
        <v>43553</v>
      </c>
      <c r="I255" s="12">
        <v>43553</v>
      </c>
      <c r="J255" s="11">
        <v>43562</v>
      </c>
      <c r="K255" s="12">
        <v>43559</v>
      </c>
      <c r="L255" s="11">
        <v>43563</v>
      </c>
      <c r="M255" s="12">
        <v>43549</v>
      </c>
      <c r="N255" s="11">
        <f>IF(AG1,DATE(2019,1,15),DATE(2019,4,2))</f>
        <v>43557</v>
      </c>
      <c r="O255" s="12">
        <v>43562</v>
      </c>
      <c r="P255" s="11">
        <v>43561</v>
      </c>
      <c r="Q255" s="12">
        <v>43567</v>
      </c>
      <c r="R255" s="11">
        <v>43564</v>
      </c>
      <c r="S255" s="12">
        <v>43571</v>
      </c>
      <c r="T255" s="11">
        <v>43553</v>
      </c>
      <c r="U255" s="12">
        <v>43560</v>
      </c>
      <c r="V255" s="11">
        <v>43551</v>
      </c>
      <c r="W255" s="12">
        <v>43559</v>
      </c>
      <c r="X255" s="11">
        <v>43565</v>
      </c>
      <c r="Y255" s="12">
        <v>43558</v>
      </c>
      <c r="Z255" s="11">
        <v>43550</v>
      </c>
      <c r="AA255" s="12">
        <v>43557</v>
      </c>
      <c r="AB255" s="11">
        <v>43564</v>
      </c>
      <c r="AC255" s="12">
        <v>43563</v>
      </c>
      <c r="AD255" s="34"/>
      <c r="AE255" s="33">
        <f t="shared" si="36"/>
        <v>43549</v>
      </c>
      <c r="AF255" s="33">
        <f t="shared" si="37"/>
        <v>43559.5</v>
      </c>
      <c r="AG255" s="33">
        <f t="shared" si="38"/>
        <v>43571</v>
      </c>
      <c r="AH255">
        <v>317</v>
      </c>
      <c r="AK255" s="36" t="str">
        <f t="shared" si="39"/>
        <v/>
      </c>
      <c r="AL255" t="str">
        <f t="shared" si="43"/>
        <v/>
      </c>
      <c r="AM255">
        <v>1</v>
      </c>
      <c r="AN255">
        <f t="shared" si="40"/>
        <v>22</v>
      </c>
      <c r="AO255" t="str">
        <f t="shared" si="41"/>
        <v>25.3.---4.4.---16.4.</v>
      </c>
      <c r="AP255" t="str">
        <f t="shared" si="42"/>
        <v>Niittykirvinen</v>
      </c>
      <c r="AQ255" t="str">
        <f t="shared" si="44"/>
        <v>(25.3.---4.4.---16.4., 1/21)</v>
      </c>
    </row>
    <row r="256" spans="1:43" x14ac:dyDescent="0.2">
      <c r="A256" s="1"/>
      <c r="B256" s="9">
        <f t="shared" si="52"/>
        <v>250</v>
      </c>
      <c r="C256" s="10"/>
      <c r="D256" s="9" t="s">
        <v>249</v>
      </c>
      <c r="E256" s="10"/>
      <c r="F256" s="11">
        <v>43599</v>
      </c>
      <c r="G256" s="12">
        <v>43600</v>
      </c>
      <c r="H256" s="11">
        <v>43598</v>
      </c>
      <c r="I256" s="12">
        <v>43596</v>
      </c>
      <c r="J256" s="11">
        <v>43604</v>
      </c>
      <c r="K256" s="12">
        <v>43601</v>
      </c>
      <c r="L256" s="11">
        <v>43591</v>
      </c>
      <c r="M256" s="12">
        <v>43597</v>
      </c>
      <c r="N256" s="11">
        <v>43595</v>
      </c>
      <c r="O256" s="12">
        <v>43598</v>
      </c>
      <c r="P256" s="11">
        <v>43598</v>
      </c>
      <c r="Q256" s="12">
        <v>43592</v>
      </c>
      <c r="R256" s="11">
        <v>43598</v>
      </c>
      <c r="S256" s="12">
        <v>43599</v>
      </c>
      <c r="T256" s="11">
        <v>43597</v>
      </c>
      <c r="U256" s="12">
        <v>43593</v>
      </c>
      <c r="V256" s="11">
        <v>43597</v>
      </c>
      <c r="W256" s="12">
        <v>43595</v>
      </c>
      <c r="X256" s="11">
        <v>43595</v>
      </c>
      <c r="Y256" s="12">
        <v>43592</v>
      </c>
      <c r="Z256" s="11">
        <v>43598</v>
      </c>
      <c r="AA256" s="12">
        <v>43600</v>
      </c>
      <c r="AB256" s="11">
        <v>43609</v>
      </c>
      <c r="AC256" s="12">
        <v>43601</v>
      </c>
      <c r="AD256" s="34"/>
      <c r="AE256" s="33">
        <f t="shared" si="36"/>
        <v>43591</v>
      </c>
      <c r="AF256" s="33">
        <f t="shared" si="37"/>
        <v>43598</v>
      </c>
      <c r="AG256" s="33">
        <f t="shared" si="38"/>
        <v>43609</v>
      </c>
      <c r="AH256">
        <v>318</v>
      </c>
      <c r="AK256" s="36" t="str">
        <f t="shared" si="39"/>
        <v/>
      </c>
      <c r="AL256" t="str">
        <f t="shared" si="43"/>
        <v/>
      </c>
      <c r="AM256" t="s">
        <v>393</v>
      </c>
      <c r="AN256">
        <f t="shared" si="40"/>
        <v>18</v>
      </c>
      <c r="AO256" t="str">
        <f t="shared" si="41"/>
        <v>6.5.---13.5.---24.5.</v>
      </c>
      <c r="AP256" t="str">
        <f t="shared" si="42"/>
        <v>Lapinkirvinen</v>
      </c>
      <c r="AQ256" t="str">
        <f t="shared" si="44"/>
        <v>(6.5.---13.5.---24.5.)</v>
      </c>
    </row>
    <row r="257" spans="1:43" x14ac:dyDescent="0.2">
      <c r="A257" s="1"/>
      <c r="B257" s="9">
        <f t="shared" si="52"/>
        <v>251</v>
      </c>
      <c r="C257" s="10"/>
      <c r="D257" s="9" t="s">
        <v>250</v>
      </c>
      <c r="E257" s="10"/>
      <c r="F257" s="11">
        <v>43562</v>
      </c>
      <c r="G257" s="12">
        <v>43557</v>
      </c>
      <c r="H257" s="11">
        <v>43551</v>
      </c>
      <c r="I257" s="12">
        <v>43556</v>
      </c>
      <c r="J257" s="11">
        <v>43554</v>
      </c>
      <c r="K257" s="12">
        <v>43557</v>
      </c>
      <c r="L257" s="11">
        <v>43564</v>
      </c>
      <c r="M257" s="12">
        <v>43554</v>
      </c>
      <c r="N257" s="11"/>
      <c r="O257" s="12">
        <v>43561</v>
      </c>
      <c r="P257" s="11">
        <v>43599</v>
      </c>
      <c r="Q257" s="12"/>
      <c r="R257" s="11">
        <v>43552</v>
      </c>
      <c r="S257" s="12">
        <v>43566</v>
      </c>
      <c r="T257" s="11">
        <v>43562</v>
      </c>
      <c r="U257" s="12">
        <v>43559</v>
      </c>
      <c r="V257" s="11">
        <v>43565</v>
      </c>
      <c r="W257" s="12">
        <v>43577</v>
      </c>
      <c r="X257" s="11">
        <v>43568</v>
      </c>
      <c r="Y257" s="12">
        <v>43567</v>
      </c>
      <c r="Z257" s="11">
        <v>43543</v>
      </c>
      <c r="AA257" s="12">
        <v>43552</v>
      </c>
      <c r="AB257" s="11">
        <v>43543</v>
      </c>
      <c r="AC257" s="12">
        <v>43565</v>
      </c>
      <c r="AD257" s="34"/>
      <c r="AE257" s="33">
        <f t="shared" si="36"/>
        <v>43543</v>
      </c>
      <c r="AF257" s="33">
        <f t="shared" si="37"/>
        <v>43560</v>
      </c>
      <c r="AG257" s="33">
        <f t="shared" si="38"/>
        <v>43599</v>
      </c>
      <c r="AH257">
        <v>319</v>
      </c>
      <c r="AK257" s="36" t="str">
        <f t="shared" si="39"/>
        <v/>
      </c>
      <c r="AL257" t="str">
        <f t="shared" si="43"/>
        <v/>
      </c>
      <c r="AM257" t="s">
        <v>393</v>
      </c>
      <c r="AN257">
        <f t="shared" si="40"/>
        <v>56</v>
      </c>
      <c r="AO257" t="str">
        <f t="shared" si="41"/>
        <v>19.3.---5.4.---14.5.</v>
      </c>
      <c r="AP257" t="str">
        <f t="shared" si="42"/>
        <v>Luotokirvinen</v>
      </c>
      <c r="AQ257" t="str">
        <f t="shared" si="44"/>
        <v>(19.3.---5.4.---14.5.)</v>
      </c>
    </row>
    <row r="258" spans="1:43" x14ac:dyDescent="0.2">
      <c r="A258" s="1"/>
      <c r="B258" s="9">
        <f t="shared" si="52"/>
        <v>252</v>
      </c>
      <c r="C258" s="10"/>
      <c r="D258" s="9" t="s">
        <v>251</v>
      </c>
      <c r="E258" s="10"/>
      <c r="F258" s="11">
        <v>43584</v>
      </c>
      <c r="G258" s="12">
        <v>43578</v>
      </c>
      <c r="H258" s="11">
        <v>43582</v>
      </c>
      <c r="I258" s="12">
        <v>43588</v>
      </c>
      <c r="J258" s="11">
        <v>43587</v>
      </c>
      <c r="K258" s="12">
        <v>43583</v>
      </c>
      <c r="L258" s="11">
        <v>43587</v>
      </c>
      <c r="M258" s="12">
        <v>43580</v>
      </c>
      <c r="N258" s="11">
        <v>43585</v>
      </c>
      <c r="O258" s="12">
        <v>43584</v>
      </c>
      <c r="P258" s="11">
        <v>43587</v>
      </c>
      <c r="Q258" s="12">
        <v>43581</v>
      </c>
      <c r="R258" s="11">
        <v>43583</v>
      </c>
      <c r="S258" s="12">
        <v>43584</v>
      </c>
      <c r="T258" s="11">
        <v>43582</v>
      </c>
      <c r="U258" s="12">
        <v>43584</v>
      </c>
      <c r="V258" s="11">
        <v>43577</v>
      </c>
      <c r="W258" s="12">
        <v>43578</v>
      </c>
      <c r="X258" s="11">
        <v>43589</v>
      </c>
      <c r="Y258" s="12">
        <v>43582</v>
      </c>
      <c r="Z258" s="11">
        <v>43585</v>
      </c>
      <c r="AA258" s="12">
        <v>43589</v>
      </c>
      <c r="AB258" s="11">
        <v>43590</v>
      </c>
      <c r="AC258" s="12">
        <v>43580</v>
      </c>
      <c r="AD258" s="34"/>
      <c r="AE258" s="33">
        <f t="shared" si="36"/>
        <v>43577</v>
      </c>
      <c r="AF258" s="33">
        <f t="shared" si="37"/>
        <v>43584</v>
      </c>
      <c r="AG258" s="33">
        <f t="shared" si="38"/>
        <v>43590</v>
      </c>
      <c r="AH258">
        <v>320</v>
      </c>
      <c r="AK258" s="36" t="str">
        <f t="shared" si="39"/>
        <v/>
      </c>
      <c r="AL258" t="str">
        <f t="shared" si="43"/>
        <v/>
      </c>
      <c r="AM258" t="s">
        <v>393</v>
      </c>
      <c r="AN258">
        <f t="shared" si="40"/>
        <v>13</v>
      </c>
      <c r="AO258" t="str">
        <f t="shared" si="41"/>
        <v>22.4.---29.4.---5.5.</v>
      </c>
      <c r="AP258" t="str">
        <f t="shared" si="42"/>
        <v>Keltavästäräkki</v>
      </c>
      <c r="AQ258" t="str">
        <f t="shared" si="44"/>
        <v>(22.4.---29.4.---5.5.)</v>
      </c>
    </row>
    <row r="259" spans="1:43" x14ac:dyDescent="0.2">
      <c r="A259" s="1"/>
      <c r="B259" s="9">
        <f t="shared" si="52"/>
        <v>253</v>
      </c>
      <c r="C259" s="10"/>
      <c r="D259" s="13" t="s">
        <v>252</v>
      </c>
      <c r="E259" s="14"/>
      <c r="F259" s="11"/>
      <c r="G259" s="12"/>
      <c r="H259" s="11"/>
      <c r="I259" s="12">
        <v>43597</v>
      </c>
      <c r="J259" s="11">
        <v>43582</v>
      </c>
      <c r="K259" s="12">
        <v>43593</v>
      </c>
      <c r="L259" s="11">
        <v>43582</v>
      </c>
      <c r="M259" s="12">
        <v>43618</v>
      </c>
      <c r="N259" s="11">
        <v>43630</v>
      </c>
      <c r="O259" s="12">
        <v>43720</v>
      </c>
      <c r="P259" s="11">
        <v>43614</v>
      </c>
      <c r="Q259" s="12">
        <v>43596</v>
      </c>
      <c r="R259" s="11">
        <v>43578</v>
      </c>
      <c r="S259" s="12">
        <v>43593</v>
      </c>
      <c r="T259" s="11">
        <v>43613</v>
      </c>
      <c r="U259" s="12">
        <v>43660</v>
      </c>
      <c r="V259" s="11">
        <v>43603</v>
      </c>
      <c r="W259" s="12">
        <v>43637</v>
      </c>
      <c r="X259" s="11"/>
      <c r="Y259" s="12">
        <v>43582</v>
      </c>
      <c r="Z259" s="11">
        <v>43586</v>
      </c>
      <c r="AA259" s="12">
        <v>43599</v>
      </c>
      <c r="AB259" s="11">
        <v>43607</v>
      </c>
      <c r="AC259" s="12">
        <v>43654</v>
      </c>
      <c r="AD259" s="34"/>
      <c r="AE259" s="33">
        <f t="shared" si="36"/>
        <v>43578</v>
      </c>
      <c r="AF259" s="33">
        <f t="shared" si="37"/>
        <v>43601</v>
      </c>
      <c r="AG259" s="33">
        <f t="shared" si="38"/>
        <v>43720</v>
      </c>
      <c r="AH259">
        <v>321</v>
      </c>
      <c r="AK259" s="36" t="str">
        <f t="shared" si="39"/>
        <v/>
      </c>
      <c r="AL259" t="str">
        <f t="shared" si="43"/>
        <v/>
      </c>
      <c r="AM259" t="s">
        <v>393</v>
      </c>
      <c r="AN259">
        <f t="shared" si="40"/>
        <v>142</v>
      </c>
      <c r="AO259" t="str">
        <f t="shared" si="41"/>
        <v>23.4.---16.5.---12.9.</v>
      </c>
      <c r="AP259" t="str">
        <f t="shared" si="42"/>
        <v>Sitruunavästäräkki</v>
      </c>
      <c r="AQ259" t="str">
        <f t="shared" si="44"/>
        <v>(23.4.---16.5.---12.9.)</v>
      </c>
    </row>
    <row r="260" spans="1:43" x14ac:dyDescent="0.2">
      <c r="A260" s="1"/>
      <c r="B260" s="9">
        <f t="shared" si="52"/>
        <v>254</v>
      </c>
      <c r="C260" s="10"/>
      <c r="D260" s="9" t="s">
        <v>253</v>
      </c>
      <c r="E260" s="10"/>
      <c r="F260" s="11"/>
      <c r="G260" s="12"/>
      <c r="H260" s="11"/>
      <c r="I260" s="12">
        <v>43602</v>
      </c>
      <c r="J260" s="11">
        <v>43615</v>
      </c>
      <c r="K260" s="12">
        <v>43593</v>
      </c>
      <c r="L260" s="11"/>
      <c r="M260" s="12">
        <v>43606</v>
      </c>
      <c r="N260" s="11">
        <v>43610</v>
      </c>
      <c r="O260" s="12">
        <v>43568</v>
      </c>
      <c r="P260" s="11">
        <v>43726</v>
      </c>
      <c r="Q260" s="12">
        <v>43603</v>
      </c>
      <c r="R260" s="11">
        <v>43615</v>
      </c>
      <c r="S260" s="12">
        <v>43612</v>
      </c>
      <c r="T260" s="11">
        <v>43607</v>
      </c>
      <c r="U260" s="12">
        <v>43582</v>
      </c>
      <c r="V260" s="11">
        <v>43622</v>
      </c>
      <c r="W260" s="12">
        <v>43613</v>
      </c>
      <c r="X260" s="11">
        <v>43605</v>
      </c>
      <c r="Y260" s="12">
        <v>43595</v>
      </c>
      <c r="Z260" s="11">
        <v>43582</v>
      </c>
      <c r="AA260" s="12">
        <v>43556</v>
      </c>
      <c r="AB260" s="11"/>
      <c r="AC260" s="12">
        <v>43570</v>
      </c>
      <c r="AD260" s="34"/>
      <c r="AE260" s="33">
        <f t="shared" si="36"/>
        <v>43556</v>
      </c>
      <c r="AF260" s="33">
        <f t="shared" si="37"/>
        <v>43605</v>
      </c>
      <c r="AG260" s="33">
        <f t="shared" si="38"/>
        <v>43726</v>
      </c>
      <c r="AH260">
        <v>322</v>
      </c>
      <c r="AK260" s="36" t="str">
        <f t="shared" si="39"/>
        <v/>
      </c>
      <c r="AL260" t="str">
        <f t="shared" si="43"/>
        <v/>
      </c>
      <c r="AM260" t="s">
        <v>393</v>
      </c>
      <c r="AN260">
        <f t="shared" si="40"/>
        <v>170</v>
      </c>
      <c r="AO260" t="str">
        <f t="shared" ref="AO260:AO323" si="53">TEXT(AE260, "p.k.")  &amp; "---" &amp; TEXT(AF260, "p.k.")  &amp; "---" &amp; TEXT(AG260, "p.k.")</f>
        <v>1.4.---20.5.---18.9.</v>
      </c>
      <c r="AP260" t="str">
        <f t="shared" si="42"/>
        <v>Virtavästäräkki</v>
      </c>
      <c r="AQ260" t="str">
        <f t="shared" si="44"/>
        <v>(1.4.---20.5.---18.9.)</v>
      </c>
    </row>
    <row r="261" spans="1:43" x14ac:dyDescent="0.2">
      <c r="A261" s="1"/>
      <c r="B261" s="9">
        <f t="shared" si="52"/>
        <v>255</v>
      </c>
      <c r="C261" s="10"/>
      <c r="D261" s="9" t="s">
        <v>254</v>
      </c>
      <c r="E261" s="10"/>
      <c r="F261" s="11">
        <v>43564</v>
      </c>
      <c r="G261" s="12">
        <v>43560</v>
      </c>
      <c r="H261" s="11">
        <v>43559</v>
      </c>
      <c r="I261" s="12">
        <v>43547</v>
      </c>
      <c r="J261" s="11">
        <v>43561</v>
      </c>
      <c r="K261" s="12">
        <v>43564</v>
      </c>
      <c r="L261" s="11">
        <v>43564</v>
      </c>
      <c r="M261" s="12">
        <v>43553</v>
      </c>
      <c r="N261" s="11">
        <v>43556</v>
      </c>
      <c r="O261" s="12">
        <f>IF(AG1,DATE(2019,1,1),DATE(2019,4,9))</f>
        <v>43564</v>
      </c>
      <c r="P261" s="11">
        <v>43552</v>
      </c>
      <c r="Q261" s="12">
        <v>43562</v>
      </c>
      <c r="R261" s="11">
        <f>IF(AG1,DATE(2019,1,26),DATE(2019,3,13))</f>
        <v>43537</v>
      </c>
      <c r="S261" s="12">
        <v>43569</v>
      </c>
      <c r="T261" s="11">
        <v>43551</v>
      </c>
      <c r="U261" s="12">
        <v>43539</v>
      </c>
      <c r="V261" s="11">
        <v>43551</v>
      </c>
      <c r="W261" s="12">
        <v>43560</v>
      </c>
      <c r="X261" s="11">
        <v>43562</v>
      </c>
      <c r="Y261" s="12">
        <v>43558</v>
      </c>
      <c r="Z261" s="11">
        <v>43547</v>
      </c>
      <c r="AA261" s="12">
        <v>43557</v>
      </c>
      <c r="AB261" s="11">
        <v>43565</v>
      </c>
      <c r="AC261" s="12">
        <v>43561</v>
      </c>
      <c r="AD261" s="34"/>
      <c r="AE261" s="33">
        <f t="shared" ref="AE261:AE324" si="54">IF(SUM(F261:AC261)&gt;0,MIN(F261:AC261),"")</f>
        <v>43537</v>
      </c>
      <c r="AF261" s="33">
        <f t="shared" ref="AF261:AF324" si="55">IF(SUM(F261:AC261)&gt;0,MEDIAN(F261:AC261),"")</f>
        <v>43559.5</v>
      </c>
      <c r="AG261" s="33">
        <f t="shared" ref="AG261:AG324" si="56">IF(SUM(F261:AC261)&gt;0,MAX(F261:AC261),"")</f>
        <v>43569</v>
      </c>
      <c r="AH261">
        <v>323</v>
      </c>
      <c r="AK261" s="36" t="str">
        <f t="shared" ref="AK261:AK324" si="57">IF(AI261&lt;&gt;"",D261 &amp; "x" &amp; TEXT(AE261, "pp.kk.")  &amp; "2019x" &amp; TEXT(Z261, "pp.kk.") &amp; "2019","")</f>
        <v/>
      </c>
      <c r="AL261" t="str">
        <f t="shared" ref="AL261:AL324" si="58">IF(COUNTIF(F261:Z261,"&lt;01.03.2019")&gt;0,COUNTIF(F261:Z261,"&lt;01.03.2019"),"")</f>
        <v/>
      </c>
      <c r="AM261">
        <v>2</v>
      </c>
      <c r="AN261">
        <f t="shared" ref="AN261:AN324" si="59">AG261-AE261</f>
        <v>32</v>
      </c>
      <c r="AO261" t="str">
        <f t="shared" si="53"/>
        <v>13.3.---4.4.---14.4.</v>
      </c>
      <c r="AP261" t="str">
        <f t="shared" ref="AP261:AP324" si="60">D261</f>
        <v>Västäräkki</v>
      </c>
      <c r="AQ261" t="str">
        <f t="shared" ref="AQ261:AQ324" si="61">IF(AND(AM261&gt;0,AM261&lt;&gt;""),"(" &amp;AO261 &amp; ", " &amp; AM261 &amp; "/21)","(" &amp; AO261 &amp; ")")</f>
        <v>(13.3.---4.4.---14.4., 2/21)</v>
      </c>
    </row>
    <row r="262" spans="1:43" x14ac:dyDescent="0.2">
      <c r="A262" s="1"/>
      <c r="B262" s="9">
        <f t="shared" si="52"/>
        <v>256</v>
      </c>
      <c r="C262" s="10"/>
      <c r="D262" s="9" t="s">
        <v>255</v>
      </c>
      <c r="E262" s="10"/>
      <c r="F262" s="11"/>
      <c r="G262" s="12">
        <v>43466</v>
      </c>
      <c r="H262" s="11">
        <v>43485</v>
      </c>
      <c r="I262" s="12">
        <v>43466</v>
      </c>
      <c r="J262" s="11">
        <v>43466</v>
      </c>
      <c r="K262" s="12">
        <v>43466</v>
      </c>
      <c r="L262" s="11">
        <v>43466</v>
      </c>
      <c r="M262" s="12">
        <v>43466</v>
      </c>
      <c r="N262" s="11">
        <v>43466</v>
      </c>
      <c r="O262" s="12">
        <v>43466</v>
      </c>
      <c r="P262" s="11">
        <v>43466</v>
      </c>
      <c r="Q262" s="12">
        <v>43466</v>
      </c>
      <c r="R262" s="11">
        <v>43466</v>
      </c>
      <c r="S262" s="12">
        <v>43466</v>
      </c>
      <c r="T262" s="11">
        <v>43467</v>
      </c>
      <c r="U262" s="12">
        <v>43466</v>
      </c>
      <c r="V262" s="11">
        <v>43475</v>
      </c>
      <c r="W262" s="12">
        <v>43466</v>
      </c>
      <c r="X262" s="11">
        <v>43466</v>
      </c>
      <c r="Y262" s="12">
        <v>43466</v>
      </c>
      <c r="Z262" s="11">
        <v>43466</v>
      </c>
      <c r="AA262" s="12">
        <v>43466</v>
      </c>
      <c r="AB262" s="11">
        <v>43466</v>
      </c>
      <c r="AC262" s="12">
        <v>43467</v>
      </c>
      <c r="AD262" s="34"/>
      <c r="AE262" s="33">
        <f t="shared" si="54"/>
        <v>43466</v>
      </c>
      <c r="AF262" s="33">
        <f t="shared" si="55"/>
        <v>43466</v>
      </c>
      <c r="AG262" s="33">
        <f t="shared" si="56"/>
        <v>43485</v>
      </c>
      <c r="AH262">
        <v>324</v>
      </c>
      <c r="AK262" s="36" t="str">
        <f t="shared" si="57"/>
        <v/>
      </c>
      <c r="AL262">
        <f t="shared" si="58"/>
        <v>20</v>
      </c>
      <c r="AM262">
        <v>20</v>
      </c>
      <c r="AN262">
        <f t="shared" si="59"/>
        <v>19</v>
      </c>
      <c r="AO262" t="str">
        <f t="shared" si="53"/>
        <v>1.1.---1.1.---20.1.</v>
      </c>
      <c r="AP262" t="str">
        <f t="shared" si="60"/>
        <v>Tilhi</v>
      </c>
      <c r="AQ262" t="str">
        <f t="shared" si="61"/>
        <v>(1.1.---1.1.---20.1., 20/21)</v>
      </c>
    </row>
    <row r="263" spans="1:43" x14ac:dyDescent="0.2">
      <c r="A263" s="1"/>
      <c r="B263" s="9">
        <f t="shared" si="52"/>
        <v>257</v>
      </c>
      <c r="C263" s="10"/>
      <c r="D263" s="9" t="s">
        <v>256</v>
      </c>
      <c r="E263" s="10"/>
      <c r="F263" s="11">
        <v>43467</v>
      </c>
      <c r="G263" s="12">
        <v>43466</v>
      </c>
      <c r="H263" s="11">
        <v>43470</v>
      </c>
      <c r="I263" s="12">
        <v>43466</v>
      </c>
      <c r="J263" s="11">
        <v>43466</v>
      </c>
      <c r="K263" s="12">
        <v>43466</v>
      </c>
      <c r="L263" s="11">
        <v>43466</v>
      </c>
      <c r="M263" s="12">
        <v>43466</v>
      </c>
      <c r="N263" s="11">
        <v>43466</v>
      </c>
      <c r="O263" s="12">
        <v>43466</v>
      </c>
      <c r="P263" s="11">
        <v>43466</v>
      </c>
      <c r="Q263" s="12">
        <v>43466</v>
      </c>
      <c r="R263" s="11">
        <v>43466</v>
      </c>
      <c r="S263" s="12">
        <v>43466</v>
      </c>
      <c r="T263" s="11">
        <v>43466</v>
      </c>
      <c r="U263" s="12">
        <v>43466</v>
      </c>
      <c r="V263" s="11">
        <v>43466</v>
      </c>
      <c r="W263" s="12">
        <v>43466</v>
      </c>
      <c r="X263" s="11">
        <v>43466</v>
      </c>
      <c r="Y263" s="12">
        <v>43466</v>
      </c>
      <c r="Z263" s="11">
        <v>43466</v>
      </c>
      <c r="AA263" s="12">
        <v>43466</v>
      </c>
      <c r="AB263" s="11">
        <v>43466</v>
      </c>
      <c r="AC263" s="12">
        <v>43466</v>
      </c>
      <c r="AD263" s="34"/>
      <c r="AE263" s="33">
        <f t="shared" si="54"/>
        <v>43466</v>
      </c>
      <c r="AF263" s="33">
        <f t="shared" si="55"/>
        <v>43466</v>
      </c>
      <c r="AG263" s="33">
        <f t="shared" si="56"/>
        <v>43470</v>
      </c>
      <c r="AH263">
        <v>325</v>
      </c>
      <c r="AK263" s="36" t="str">
        <f t="shared" si="57"/>
        <v/>
      </c>
      <c r="AL263">
        <f t="shared" si="58"/>
        <v>21</v>
      </c>
      <c r="AM263">
        <v>21</v>
      </c>
      <c r="AN263">
        <f t="shared" si="59"/>
        <v>4</v>
      </c>
      <c r="AO263" t="str">
        <f t="shared" si="53"/>
        <v>1.1.---1.1.---5.1.</v>
      </c>
      <c r="AP263" t="str">
        <f t="shared" si="60"/>
        <v>Koskikara</v>
      </c>
      <c r="AQ263" t="str">
        <f t="shared" si="61"/>
        <v>(1.1.---1.1.---5.1., 21/21)</v>
      </c>
    </row>
    <row r="264" spans="1:43" x14ac:dyDescent="0.2">
      <c r="A264" s="1"/>
      <c r="B264" s="9">
        <f t="shared" si="52"/>
        <v>258</v>
      </c>
      <c r="C264" s="10"/>
      <c r="D264" s="9" t="s">
        <v>257</v>
      </c>
      <c r="E264" s="10"/>
      <c r="F264" s="11">
        <v>43568</v>
      </c>
      <c r="G264" s="12">
        <v>43562</v>
      </c>
      <c r="H264" s="11">
        <v>43555</v>
      </c>
      <c r="I264" s="12">
        <v>43591</v>
      </c>
      <c r="J264" s="11">
        <v>43563</v>
      </c>
      <c r="K264" s="12">
        <v>43566</v>
      </c>
      <c r="L264" s="11">
        <v>43566</v>
      </c>
      <c r="M264" s="12">
        <v>43563</v>
      </c>
      <c r="N264" s="11">
        <f>IF(AG1,DATE(2019,2,26),DATE(2019,4,6))</f>
        <v>43561</v>
      </c>
      <c r="O264" s="12">
        <f>IF(AG1,DATE(2019,2,4),DATE(2019,4,13))</f>
        <v>43568</v>
      </c>
      <c r="P264" s="11">
        <v>43559</v>
      </c>
      <c r="Q264" s="12">
        <v>43567</v>
      </c>
      <c r="R264" s="11">
        <v>43570</v>
      </c>
      <c r="S264" s="12">
        <v>43576</v>
      </c>
      <c r="T264" s="11">
        <v>43567</v>
      </c>
      <c r="U264" s="12">
        <v>43557</v>
      </c>
      <c r="V264" s="11">
        <v>43564</v>
      </c>
      <c r="W264" s="12">
        <v>43562</v>
      </c>
      <c r="X264" s="11">
        <v>43569</v>
      </c>
      <c r="Y264" s="12">
        <v>43561</v>
      </c>
      <c r="Z264" s="11">
        <v>43549</v>
      </c>
      <c r="AA264" s="12">
        <f>IF(AG1,DATE(2019,1,6),DATE(2019,3,31))</f>
        <v>43555</v>
      </c>
      <c r="AB264" s="11">
        <v>43551</v>
      </c>
      <c r="AC264" s="12">
        <v>43562</v>
      </c>
      <c r="AD264" s="34"/>
      <c r="AE264" s="33">
        <f t="shared" si="54"/>
        <v>43549</v>
      </c>
      <c r="AF264" s="33">
        <f t="shared" si="55"/>
        <v>43563</v>
      </c>
      <c r="AG264" s="33">
        <f t="shared" si="56"/>
        <v>43591</v>
      </c>
      <c r="AH264">
        <v>326</v>
      </c>
      <c r="AK264" s="36" t="str">
        <f t="shared" si="57"/>
        <v/>
      </c>
      <c r="AL264" t="str">
        <f t="shared" si="58"/>
        <v/>
      </c>
      <c r="AM264">
        <v>2</v>
      </c>
      <c r="AN264">
        <f t="shared" si="59"/>
        <v>42</v>
      </c>
      <c r="AO264" t="str">
        <f t="shared" si="53"/>
        <v>25.3.---8.4.---6.5.</v>
      </c>
      <c r="AP264" t="str">
        <f t="shared" si="60"/>
        <v>Peukaloinen</v>
      </c>
      <c r="AQ264" t="str">
        <f t="shared" si="61"/>
        <v>(25.3.---8.4.---6.5., 2/21)</v>
      </c>
    </row>
    <row r="265" spans="1:43" x14ac:dyDescent="0.2">
      <c r="A265" s="1"/>
      <c r="B265" s="9">
        <f t="shared" si="52"/>
        <v>259</v>
      </c>
      <c r="C265" s="10"/>
      <c r="D265" s="9" t="s">
        <v>258</v>
      </c>
      <c r="E265" s="10"/>
      <c r="F265" s="11">
        <v>43567</v>
      </c>
      <c r="G265" s="12">
        <v>43560</v>
      </c>
      <c r="H265" s="11">
        <v>43567</v>
      </c>
      <c r="I265" s="12">
        <v>43567</v>
      </c>
      <c r="J265" s="11">
        <v>43565</v>
      </c>
      <c r="K265" s="12">
        <v>43560</v>
      </c>
      <c r="L265" s="11">
        <f>IF(AG1,DATE(2019,1,30),DATE(2019,4,14))</f>
        <v>43569</v>
      </c>
      <c r="M265" s="12">
        <v>43562</v>
      </c>
      <c r="N265" s="11">
        <v>43561</v>
      </c>
      <c r="O265" s="12">
        <v>43565</v>
      </c>
      <c r="P265" s="11">
        <v>43564</v>
      </c>
      <c r="Q265" s="12">
        <v>43569</v>
      </c>
      <c r="R265" s="11">
        <v>43567</v>
      </c>
      <c r="S265" s="12">
        <v>43573</v>
      </c>
      <c r="T265" s="11">
        <v>43549</v>
      </c>
      <c r="U265" s="12">
        <v>43554</v>
      </c>
      <c r="V265" s="11">
        <v>43553</v>
      </c>
      <c r="W265" s="12">
        <f>IF(AG1,DATE(2019,2,7),DATE(2019,4,4))</f>
        <v>43559</v>
      </c>
      <c r="X265" s="11">
        <v>43569</v>
      </c>
      <c r="Y265" s="12">
        <v>43559</v>
      </c>
      <c r="Z265" s="11">
        <v>43550</v>
      </c>
      <c r="AA265" s="12">
        <v>43557</v>
      </c>
      <c r="AB265" s="11">
        <f>IF(AF1,DATE(2019,2,18),DATE(2019,4,16))</f>
        <v>43571</v>
      </c>
      <c r="AC265" s="12">
        <v>43565</v>
      </c>
      <c r="AD265" s="34"/>
      <c r="AE265" s="33">
        <f t="shared" si="54"/>
        <v>43549</v>
      </c>
      <c r="AF265" s="33">
        <f t="shared" si="55"/>
        <v>43564.5</v>
      </c>
      <c r="AG265" s="33">
        <f t="shared" si="56"/>
        <v>43573</v>
      </c>
      <c r="AH265">
        <v>327</v>
      </c>
      <c r="AK265" s="36" t="str">
        <f t="shared" si="57"/>
        <v/>
      </c>
      <c r="AL265" t="str">
        <f t="shared" si="58"/>
        <v/>
      </c>
      <c r="AM265">
        <v>2</v>
      </c>
      <c r="AN265">
        <f t="shared" si="59"/>
        <v>24</v>
      </c>
      <c r="AO265" t="str">
        <f t="shared" si="53"/>
        <v>25.3.---9.4.---18.4.</v>
      </c>
      <c r="AP265" t="str">
        <f t="shared" si="60"/>
        <v>Rautiainen</v>
      </c>
      <c r="AQ265" t="str">
        <f t="shared" si="61"/>
        <v>(25.3.---9.4.---18.4., 2/21)</v>
      </c>
    </row>
    <row r="266" spans="1:43" x14ac:dyDescent="0.2">
      <c r="A266" s="1"/>
      <c r="B266" s="9">
        <f t="shared" si="52"/>
        <v>260</v>
      </c>
      <c r="C266" s="10"/>
      <c r="D266" s="17" t="s">
        <v>259</v>
      </c>
      <c r="E266" s="10"/>
      <c r="F266" s="11"/>
      <c r="G266" s="12"/>
      <c r="H266" s="11"/>
      <c r="I266" s="12"/>
      <c r="J266" s="11"/>
      <c r="K266" s="12"/>
      <c r="L266" s="11"/>
      <c r="M266" s="12"/>
      <c r="N266" s="11"/>
      <c r="O266" s="12"/>
      <c r="P266" s="11"/>
      <c r="Q266" s="12"/>
      <c r="R266" s="11"/>
      <c r="S266" s="12"/>
      <c r="T266" s="11"/>
      <c r="U266" s="12"/>
      <c r="V266" s="11">
        <v>43767</v>
      </c>
      <c r="W266" s="12"/>
      <c r="X266" s="11"/>
      <c r="Y266" s="12"/>
      <c r="Z266" s="11"/>
      <c r="AA266" s="12"/>
      <c r="AB266" s="11"/>
      <c r="AC266" s="12" t="s">
        <v>393</v>
      </c>
      <c r="AD266" s="34"/>
      <c r="AE266" s="33">
        <f t="shared" si="54"/>
        <v>43767</v>
      </c>
      <c r="AF266" s="33">
        <f t="shared" si="55"/>
        <v>43767</v>
      </c>
      <c r="AG266" s="33">
        <f t="shared" si="56"/>
        <v>43767</v>
      </c>
      <c r="AH266">
        <v>328</v>
      </c>
      <c r="AK266" s="36" t="str">
        <f t="shared" si="57"/>
        <v/>
      </c>
      <c r="AL266" t="str">
        <f t="shared" si="58"/>
        <v/>
      </c>
      <c r="AM266" t="s">
        <v>393</v>
      </c>
      <c r="AN266">
        <f t="shared" si="59"/>
        <v>0</v>
      </c>
      <c r="AO266" t="str">
        <f t="shared" si="53"/>
        <v>29.10.---29.10.---29.10.</v>
      </c>
      <c r="AP266" t="str">
        <f t="shared" si="60"/>
        <v>Taigarautiainen</v>
      </c>
      <c r="AQ266" t="str">
        <f t="shared" si="61"/>
        <v>(29.10.---29.10.---29.10.)</v>
      </c>
    </row>
    <row r="267" spans="1:43" x14ac:dyDescent="0.2">
      <c r="A267" s="1"/>
      <c r="B267" s="9">
        <f t="shared" si="52"/>
        <v>261</v>
      </c>
      <c r="C267" s="10"/>
      <c r="D267" s="17" t="s">
        <v>260</v>
      </c>
      <c r="E267" s="10"/>
      <c r="F267" s="11"/>
      <c r="G267" s="12"/>
      <c r="H267" s="11"/>
      <c r="I267" s="12"/>
      <c r="J267" s="11"/>
      <c r="K267" s="12"/>
      <c r="L267" s="11"/>
      <c r="M267" s="12"/>
      <c r="N267" s="11"/>
      <c r="O267" s="12"/>
      <c r="P267" s="11"/>
      <c r="Q267" s="12"/>
      <c r="R267" s="11"/>
      <c r="S267" s="12"/>
      <c r="T267" s="11">
        <v>43807</v>
      </c>
      <c r="U267" s="12">
        <v>43466</v>
      </c>
      <c r="V267" s="11"/>
      <c r="W267" s="12"/>
      <c r="X267" s="11"/>
      <c r="Y267" s="12"/>
      <c r="Z267" s="11"/>
      <c r="AA267" s="12"/>
      <c r="AB267" s="11"/>
      <c r="AC267" s="12" t="s">
        <v>393</v>
      </c>
      <c r="AD267" s="34"/>
      <c r="AE267" s="33">
        <f t="shared" si="54"/>
        <v>43466</v>
      </c>
      <c r="AF267" s="33">
        <f t="shared" si="55"/>
        <v>43636.5</v>
      </c>
      <c r="AG267" s="33">
        <f t="shared" si="56"/>
        <v>43807</v>
      </c>
      <c r="AH267">
        <v>329</v>
      </c>
      <c r="AK267" s="36" t="str">
        <f t="shared" si="57"/>
        <v/>
      </c>
      <c r="AL267">
        <f t="shared" si="58"/>
        <v>1</v>
      </c>
      <c r="AM267">
        <v>1</v>
      </c>
      <c r="AN267">
        <f t="shared" si="59"/>
        <v>341</v>
      </c>
      <c r="AO267" t="str">
        <f t="shared" si="53"/>
        <v>1.1.---20.6.---8.12.</v>
      </c>
      <c r="AP267" t="str">
        <f t="shared" si="60"/>
        <v>Mustakurkkurautiainen</v>
      </c>
      <c r="AQ267" t="str">
        <f t="shared" si="61"/>
        <v>(1.1.---20.6.---8.12., 1/21)</v>
      </c>
    </row>
    <row r="268" spans="1:43" x14ac:dyDescent="0.2">
      <c r="A268" s="1"/>
      <c r="B268" s="9">
        <f t="shared" si="52"/>
        <v>262</v>
      </c>
      <c r="C268" s="10"/>
      <c r="D268" s="9" t="s">
        <v>261</v>
      </c>
      <c r="E268" s="10"/>
      <c r="F268" s="11">
        <v>43567</v>
      </c>
      <c r="G268" s="12">
        <f>IF(AG1,DATE(2019,1,7),DATE(2019,4,3))</f>
        <v>43558</v>
      </c>
      <c r="H268" s="11">
        <v>43562</v>
      </c>
      <c r="I268" s="12">
        <f>IF(AG1,DATE(2019,1,1),DATE(2019,4,15))</f>
        <v>43570</v>
      </c>
      <c r="J268" s="11">
        <v>43563</v>
      </c>
      <c r="K268" s="12">
        <f>IF(AG1,DATE(2019,1,1),DATE(2019,4,7))</f>
        <v>43562</v>
      </c>
      <c r="L268" s="11">
        <v>43564</v>
      </c>
      <c r="M268" s="12">
        <f>IF(AG1,DATE(2019,1,2),DATE(2019,3,30))</f>
        <v>43554</v>
      </c>
      <c r="N268" s="11">
        <f>IF(AG1,DATE(2019,1,1),DATE(2019,4,3))</f>
        <v>43558</v>
      </c>
      <c r="O268" s="12">
        <f>IF(AG1,DATE(2019,1,1),DATE(2019,4,9))</f>
        <v>43564</v>
      </c>
      <c r="P268" s="11">
        <v>43551</v>
      </c>
      <c r="Q268" s="12">
        <f>IF(AG1,DATE(2019,1,30),DATE(2019,4,6))</f>
        <v>43561</v>
      </c>
      <c r="R268" s="11">
        <f>IF(AG1,DATE(2019,1,1),DATE(2019,4,14))</f>
        <v>43569</v>
      </c>
      <c r="S268" s="12">
        <v>43571</v>
      </c>
      <c r="T268" s="11">
        <f>IF(AG1,DATE(2019,1,9),DATE(2019,3,22))</f>
        <v>43546</v>
      </c>
      <c r="U268" s="12">
        <f>IF(AG1,DATE(2019,1,1),DATE(2019,4,3))</f>
        <v>43558</v>
      </c>
      <c r="V268" s="11">
        <f>IF(AG1,DATE(2019,1,4),DATE(2019,3,29))</f>
        <v>43553</v>
      </c>
      <c r="W268" s="12">
        <f>IF(AG1,DATE(2019,1,1),DATE(2019,4,1))</f>
        <v>43556</v>
      </c>
      <c r="X268" s="11">
        <f>IF(AG1,DATE(2019,1,1),DATE(2019,4,5))</f>
        <v>43560</v>
      </c>
      <c r="Y268" s="12">
        <f>IF(AG1,DATE(2019,1,1),DATE(2019,4,1))</f>
        <v>43556</v>
      </c>
      <c r="Z268" s="11">
        <f>IF(AG1,DATE(2019,1,1),DATE(2019,3,22))</f>
        <v>43546</v>
      </c>
      <c r="AA268" s="12">
        <f>IF(AG1,DATE(2019,1,9),DATE(2019,3,25))</f>
        <v>43549</v>
      </c>
      <c r="AB268" s="11">
        <f>IF(AF1,DATE(2019,1,8),DATE(2019,3,28))</f>
        <v>43552</v>
      </c>
      <c r="AC268" s="12">
        <f>IF(AG1,DATE(2019,1,2),DATE(2019,4,8))</f>
        <v>43563</v>
      </c>
      <c r="AD268" s="34"/>
      <c r="AE268" s="33">
        <f t="shared" si="54"/>
        <v>43546</v>
      </c>
      <c r="AF268" s="33">
        <f t="shared" si="55"/>
        <v>43559</v>
      </c>
      <c r="AG268" s="33">
        <f t="shared" si="56"/>
        <v>43571</v>
      </c>
      <c r="AH268">
        <v>332</v>
      </c>
      <c r="AK268" s="36" t="str">
        <f t="shared" si="57"/>
        <v/>
      </c>
      <c r="AL268" t="str">
        <f t="shared" si="58"/>
        <v/>
      </c>
      <c r="AM268">
        <v>15</v>
      </c>
      <c r="AN268">
        <f t="shared" si="59"/>
        <v>25</v>
      </c>
      <c r="AO268" t="str">
        <f t="shared" si="53"/>
        <v>22.3.---4.4.---16.4.</v>
      </c>
      <c r="AP268" t="str">
        <f t="shared" si="60"/>
        <v>Punarinta</v>
      </c>
      <c r="AQ268" t="str">
        <f t="shared" si="61"/>
        <v>(22.3.---4.4.---16.4., 15/21)</v>
      </c>
    </row>
    <row r="269" spans="1:43" x14ac:dyDescent="0.2">
      <c r="A269" s="1"/>
      <c r="B269" s="9">
        <f t="shared" si="52"/>
        <v>263</v>
      </c>
      <c r="C269" s="10"/>
      <c r="D269" s="9" t="s">
        <v>262</v>
      </c>
      <c r="E269" s="10"/>
      <c r="F269" s="11">
        <v>43608</v>
      </c>
      <c r="G269" s="12">
        <v>43609</v>
      </c>
      <c r="H269" s="11">
        <v>43606</v>
      </c>
      <c r="I269" s="12">
        <v>43606</v>
      </c>
      <c r="J269" s="11">
        <v>43605</v>
      </c>
      <c r="K269" s="12">
        <v>43609</v>
      </c>
      <c r="L269" s="11">
        <v>43607</v>
      </c>
      <c r="M269" s="12">
        <v>43603</v>
      </c>
      <c r="N269" s="11">
        <v>43605</v>
      </c>
      <c r="O269" s="12">
        <v>43606</v>
      </c>
      <c r="P269" s="11">
        <v>43601</v>
      </c>
      <c r="Q269" s="12">
        <v>43620</v>
      </c>
      <c r="R269" s="11">
        <v>43601</v>
      </c>
      <c r="S269" s="12">
        <v>43601</v>
      </c>
      <c r="T269" s="11">
        <v>43602</v>
      </c>
      <c r="U269" s="12">
        <v>43600</v>
      </c>
      <c r="V269" s="11">
        <v>43602</v>
      </c>
      <c r="W269" s="12">
        <v>43609</v>
      </c>
      <c r="X269" s="11">
        <v>43596</v>
      </c>
      <c r="Y269" s="12">
        <v>43606</v>
      </c>
      <c r="Z269" s="11">
        <v>43594</v>
      </c>
      <c r="AA269" s="12">
        <v>43601</v>
      </c>
      <c r="AB269" s="11">
        <v>43606</v>
      </c>
      <c r="AC269" s="12">
        <v>43604</v>
      </c>
      <c r="AD269" s="34"/>
      <c r="AE269" s="33">
        <f t="shared" si="54"/>
        <v>43594</v>
      </c>
      <c r="AF269" s="33">
        <f t="shared" si="55"/>
        <v>43605</v>
      </c>
      <c r="AG269" s="33">
        <f t="shared" si="56"/>
        <v>43620</v>
      </c>
      <c r="AH269">
        <v>333</v>
      </c>
      <c r="AK269" s="36" t="str">
        <f t="shared" si="57"/>
        <v/>
      </c>
      <c r="AL269" t="str">
        <f t="shared" si="58"/>
        <v/>
      </c>
      <c r="AM269" t="s">
        <v>393</v>
      </c>
      <c r="AN269">
        <f t="shared" si="59"/>
        <v>26</v>
      </c>
      <c r="AO269" t="str">
        <f t="shared" si="53"/>
        <v>9.5.---20.5.---4.6.</v>
      </c>
      <c r="AP269" t="str">
        <f t="shared" si="60"/>
        <v>Satakieli</v>
      </c>
      <c r="AQ269" t="str">
        <f t="shared" si="61"/>
        <v>(9.5.---20.5.---4.6.)</v>
      </c>
    </row>
    <row r="270" spans="1:43" x14ac:dyDescent="0.2">
      <c r="A270" s="1"/>
      <c r="B270" s="9">
        <f t="shared" si="52"/>
        <v>264</v>
      </c>
      <c r="C270" s="10"/>
      <c r="D270" s="15" t="s">
        <v>263</v>
      </c>
      <c r="E270" s="16"/>
      <c r="F270" s="11"/>
      <c r="G270" s="12"/>
      <c r="H270" s="11"/>
      <c r="I270" s="12"/>
      <c r="J270" s="11"/>
      <c r="K270" s="12"/>
      <c r="L270" s="11"/>
      <c r="M270" s="12"/>
      <c r="N270" s="11"/>
      <c r="O270" s="12"/>
      <c r="P270" s="11"/>
      <c r="Q270" s="12"/>
      <c r="R270" s="11">
        <v>43742</v>
      </c>
      <c r="S270" s="12"/>
      <c r="T270" s="11"/>
      <c r="U270" s="12"/>
      <c r="V270" s="11"/>
      <c r="W270" s="12"/>
      <c r="X270" s="11"/>
      <c r="Y270" s="12"/>
      <c r="Z270" s="11">
        <v>43609</v>
      </c>
      <c r="AA270" s="12"/>
      <c r="AB270" s="11"/>
      <c r="AC270" s="12" t="s">
        <v>393</v>
      </c>
      <c r="AD270" s="34"/>
      <c r="AE270" s="33">
        <f t="shared" si="54"/>
        <v>43609</v>
      </c>
      <c r="AF270" s="33">
        <f t="shared" si="55"/>
        <v>43675.5</v>
      </c>
      <c r="AG270" s="33">
        <f t="shared" si="56"/>
        <v>43742</v>
      </c>
      <c r="AH270">
        <v>334</v>
      </c>
      <c r="AK270" s="36" t="str">
        <f t="shared" si="57"/>
        <v/>
      </c>
      <c r="AL270" t="str">
        <f t="shared" si="58"/>
        <v/>
      </c>
      <c r="AM270" t="s">
        <v>393</v>
      </c>
      <c r="AN270">
        <f t="shared" si="59"/>
        <v>133</v>
      </c>
      <c r="AO270" t="str">
        <f t="shared" si="53"/>
        <v>24.5.---29.7.---4.10.</v>
      </c>
      <c r="AP270" t="str">
        <f t="shared" si="60"/>
        <v>Etelänsatakieli</v>
      </c>
      <c r="AQ270" t="str">
        <f t="shared" si="61"/>
        <v>(24.5.---29.7.---4.10.)</v>
      </c>
    </row>
    <row r="271" spans="1:43" x14ac:dyDescent="0.2">
      <c r="A271" s="1"/>
      <c r="B271" s="9">
        <f t="shared" si="52"/>
        <v>265</v>
      </c>
      <c r="C271" s="10"/>
      <c r="D271" s="9" t="s">
        <v>264</v>
      </c>
      <c r="E271" s="10"/>
      <c r="F271" s="11">
        <v>43592</v>
      </c>
      <c r="G271" s="12">
        <v>43589</v>
      </c>
      <c r="H271" s="11">
        <v>43589</v>
      </c>
      <c r="I271" s="12">
        <v>43597</v>
      </c>
      <c r="J271" s="11">
        <v>43592</v>
      </c>
      <c r="K271" s="12">
        <v>43595</v>
      </c>
      <c r="L271" s="11">
        <v>43591</v>
      </c>
      <c r="M271" s="12">
        <v>43586</v>
      </c>
      <c r="N271" s="11">
        <v>43588</v>
      </c>
      <c r="O271" s="12">
        <v>43587</v>
      </c>
      <c r="P271" s="11">
        <v>43593</v>
      </c>
      <c r="Q271" s="12">
        <v>43592</v>
      </c>
      <c r="R271" s="11">
        <v>43587</v>
      </c>
      <c r="S271" s="12">
        <v>43593</v>
      </c>
      <c r="T271" s="11">
        <v>43589</v>
      </c>
      <c r="U271" s="12">
        <v>43592</v>
      </c>
      <c r="V271" s="11">
        <v>43586</v>
      </c>
      <c r="W271" s="12">
        <v>43601</v>
      </c>
      <c r="X271" s="11">
        <v>43596</v>
      </c>
      <c r="Y271" s="12">
        <v>43595</v>
      </c>
      <c r="Z271" s="11">
        <v>43589</v>
      </c>
      <c r="AA271" s="12">
        <v>43597</v>
      </c>
      <c r="AB271" s="11">
        <v>43597</v>
      </c>
      <c r="AC271" s="12">
        <v>43591</v>
      </c>
      <c r="AD271" s="34"/>
      <c r="AE271" s="33">
        <f t="shared" si="54"/>
        <v>43586</v>
      </c>
      <c r="AF271" s="33">
        <f t="shared" si="55"/>
        <v>43592</v>
      </c>
      <c r="AG271" s="33">
        <f t="shared" si="56"/>
        <v>43601</v>
      </c>
      <c r="AH271">
        <v>335</v>
      </c>
      <c r="AK271" s="36" t="str">
        <f t="shared" si="57"/>
        <v/>
      </c>
      <c r="AL271" t="str">
        <f t="shared" si="58"/>
        <v/>
      </c>
      <c r="AM271" t="s">
        <v>393</v>
      </c>
      <c r="AN271">
        <f t="shared" si="59"/>
        <v>15</v>
      </c>
      <c r="AO271" t="str">
        <f t="shared" si="53"/>
        <v>1.5.---7.5.---16.5.</v>
      </c>
      <c r="AP271" t="str">
        <f t="shared" si="60"/>
        <v>Sinirinta</v>
      </c>
      <c r="AQ271" t="str">
        <f t="shared" si="61"/>
        <v>(1.5.---7.5.---16.5.)</v>
      </c>
    </row>
    <row r="272" spans="1:43" x14ac:dyDescent="0.2">
      <c r="A272" s="1"/>
      <c r="B272" s="9">
        <f t="shared" si="52"/>
        <v>266</v>
      </c>
      <c r="C272" s="10"/>
      <c r="D272" s="15" t="s">
        <v>265</v>
      </c>
      <c r="E272" s="16"/>
      <c r="F272" s="11"/>
      <c r="G272" s="12"/>
      <c r="H272" s="11"/>
      <c r="I272" s="12"/>
      <c r="J272" s="11">
        <v>43719</v>
      </c>
      <c r="K272" s="12">
        <v>43768</v>
      </c>
      <c r="L272" s="11"/>
      <c r="M272" s="12"/>
      <c r="N272" s="11"/>
      <c r="O272" s="12"/>
      <c r="P272" s="11"/>
      <c r="Q272" s="12"/>
      <c r="R272" s="11"/>
      <c r="S272" s="12"/>
      <c r="T272" s="11"/>
      <c r="U272" s="12"/>
      <c r="V272" s="11"/>
      <c r="W272" s="12"/>
      <c r="X272" s="11"/>
      <c r="Y272" s="12"/>
      <c r="Z272" s="11"/>
      <c r="AA272" s="12"/>
      <c r="AB272" s="11"/>
      <c r="AC272" s="12" t="s">
        <v>393</v>
      </c>
      <c r="AD272" s="34"/>
      <c r="AE272" s="33">
        <f t="shared" si="54"/>
        <v>43719</v>
      </c>
      <c r="AF272" s="33">
        <f t="shared" si="55"/>
        <v>43743.5</v>
      </c>
      <c r="AG272" s="33">
        <f t="shared" si="56"/>
        <v>43768</v>
      </c>
      <c r="AH272">
        <v>336</v>
      </c>
      <c r="AK272" s="36" t="str">
        <f t="shared" si="57"/>
        <v/>
      </c>
      <c r="AL272" t="str">
        <f t="shared" si="58"/>
        <v/>
      </c>
      <c r="AM272" t="s">
        <v>393</v>
      </c>
      <c r="AN272">
        <f t="shared" si="59"/>
        <v>49</v>
      </c>
      <c r="AO272" t="str">
        <f t="shared" si="53"/>
        <v>11.9.---5.10.---30.10.</v>
      </c>
      <c r="AP272" t="str">
        <f t="shared" si="60"/>
        <v>Rubiinisatakieli</v>
      </c>
      <c r="AQ272" t="str">
        <f t="shared" si="61"/>
        <v>(11.9.---5.10.---30.10.)</v>
      </c>
    </row>
    <row r="273" spans="1:43" x14ac:dyDescent="0.2">
      <c r="A273" s="1"/>
      <c r="B273" s="9">
        <f t="shared" si="52"/>
        <v>267</v>
      </c>
      <c r="C273" s="10"/>
      <c r="D273" s="9" t="s">
        <v>266</v>
      </c>
      <c r="E273" s="10"/>
      <c r="F273" s="11">
        <v>43597</v>
      </c>
      <c r="G273" s="12">
        <v>43595</v>
      </c>
      <c r="H273" s="11">
        <v>43610</v>
      </c>
      <c r="I273" s="12">
        <v>43604</v>
      </c>
      <c r="J273" s="11">
        <v>43611</v>
      </c>
      <c r="K273" s="12">
        <v>43601</v>
      </c>
      <c r="L273" s="11">
        <v>43615</v>
      </c>
      <c r="M273" s="12">
        <v>43603</v>
      </c>
      <c r="N273" s="11">
        <v>43661</v>
      </c>
      <c r="O273" s="12">
        <v>43604</v>
      </c>
      <c r="P273" s="11">
        <v>43600</v>
      </c>
      <c r="Q273" s="12">
        <v>43602</v>
      </c>
      <c r="R273" s="11">
        <v>43605</v>
      </c>
      <c r="S273" s="12">
        <v>43594</v>
      </c>
      <c r="T273" s="11">
        <v>43610</v>
      </c>
      <c r="U273" s="12">
        <v>43617</v>
      </c>
      <c r="V273" s="11">
        <v>43593</v>
      </c>
      <c r="W273" s="12">
        <v>43604</v>
      </c>
      <c r="X273" s="11">
        <v>43605</v>
      </c>
      <c r="Y273" s="12">
        <v>43580</v>
      </c>
      <c r="Z273" s="11">
        <v>43559</v>
      </c>
      <c r="AA273" s="12">
        <v>43593</v>
      </c>
      <c r="AB273" s="11">
        <v>43597</v>
      </c>
      <c r="AC273" s="12">
        <v>43597</v>
      </c>
      <c r="AD273" s="34"/>
      <c r="AE273" s="33">
        <f t="shared" si="54"/>
        <v>43559</v>
      </c>
      <c r="AF273" s="33">
        <f t="shared" si="55"/>
        <v>43602.5</v>
      </c>
      <c r="AG273" s="33">
        <f t="shared" si="56"/>
        <v>43661</v>
      </c>
      <c r="AH273">
        <v>337</v>
      </c>
      <c r="AK273" s="36" t="str">
        <f t="shared" si="57"/>
        <v/>
      </c>
      <c r="AL273" t="str">
        <f t="shared" si="58"/>
        <v/>
      </c>
      <c r="AM273" t="s">
        <v>393</v>
      </c>
      <c r="AN273">
        <f t="shared" si="59"/>
        <v>102</v>
      </c>
      <c r="AO273" t="str">
        <f t="shared" si="53"/>
        <v>4.4.---17.5.---15.7.</v>
      </c>
      <c r="AP273" t="str">
        <f t="shared" si="60"/>
        <v>Sinipyrstö</v>
      </c>
      <c r="AQ273" t="str">
        <f t="shared" si="61"/>
        <v>(4.4.---17.5.---15.7.)</v>
      </c>
    </row>
    <row r="274" spans="1:43" x14ac:dyDescent="0.2">
      <c r="A274" s="1"/>
      <c r="B274" s="9">
        <f t="shared" si="52"/>
        <v>268</v>
      </c>
      <c r="C274" s="10"/>
      <c r="D274" s="9" t="s">
        <v>267</v>
      </c>
      <c r="E274" s="10"/>
      <c r="F274" s="11"/>
      <c r="G274" s="12"/>
      <c r="H274" s="11"/>
      <c r="I274" s="12">
        <v>43610</v>
      </c>
      <c r="J274" s="11">
        <v>43586</v>
      </c>
      <c r="K274" s="12">
        <v>43579</v>
      </c>
      <c r="L274" s="11">
        <v>43568</v>
      </c>
      <c r="M274" s="12">
        <v>43599</v>
      </c>
      <c r="N274" s="11">
        <v>43572</v>
      </c>
      <c r="O274" s="12">
        <v>43569</v>
      </c>
      <c r="P274" s="11">
        <v>43558</v>
      </c>
      <c r="Q274" s="12">
        <v>43561</v>
      </c>
      <c r="R274" s="11">
        <v>43578</v>
      </c>
      <c r="S274" s="12">
        <v>43575</v>
      </c>
      <c r="T274" s="11">
        <v>43576</v>
      </c>
      <c r="U274" s="12">
        <v>43563</v>
      </c>
      <c r="V274" s="11">
        <v>43572</v>
      </c>
      <c r="W274" s="12">
        <v>43583</v>
      </c>
      <c r="X274" s="11">
        <v>43573</v>
      </c>
      <c r="Y274" s="12">
        <v>43562</v>
      </c>
      <c r="Z274" s="11">
        <v>43574</v>
      </c>
      <c r="AA274" s="12">
        <v>43588</v>
      </c>
      <c r="AB274" s="11">
        <v>43594</v>
      </c>
      <c r="AC274" s="12">
        <v>43585</v>
      </c>
      <c r="AD274" s="34"/>
      <c r="AE274" s="33">
        <f t="shared" si="54"/>
        <v>43558</v>
      </c>
      <c r="AF274" s="33">
        <f t="shared" si="55"/>
        <v>43575</v>
      </c>
      <c r="AG274" s="33">
        <f t="shared" si="56"/>
        <v>43610</v>
      </c>
      <c r="AH274">
        <v>339</v>
      </c>
      <c r="AK274" s="36" t="str">
        <f t="shared" si="57"/>
        <v/>
      </c>
      <c r="AL274" t="str">
        <f t="shared" si="58"/>
        <v/>
      </c>
      <c r="AM274" t="s">
        <v>393</v>
      </c>
      <c r="AN274">
        <f t="shared" si="59"/>
        <v>52</v>
      </c>
      <c r="AO274" t="str">
        <f t="shared" si="53"/>
        <v>3.4.---20.4.---25.5.</v>
      </c>
      <c r="AP274" t="str">
        <f t="shared" si="60"/>
        <v>Mustaleppälintu</v>
      </c>
      <c r="AQ274" t="str">
        <f t="shared" si="61"/>
        <v>(3.4.---20.4.---25.5.)</v>
      </c>
    </row>
    <row r="275" spans="1:43" x14ac:dyDescent="0.2">
      <c r="A275" s="1"/>
      <c r="B275" s="9">
        <f t="shared" si="52"/>
        <v>269</v>
      </c>
      <c r="C275" s="10"/>
      <c r="D275" s="9" t="s">
        <v>268</v>
      </c>
      <c r="E275" s="10"/>
      <c r="F275" s="11">
        <v>43579</v>
      </c>
      <c r="G275" s="12">
        <v>43589</v>
      </c>
      <c r="H275" s="11">
        <v>43585</v>
      </c>
      <c r="I275" s="12">
        <v>43589</v>
      </c>
      <c r="J275" s="11">
        <v>43575</v>
      </c>
      <c r="K275" s="12">
        <v>43588</v>
      </c>
      <c r="L275" s="11">
        <v>43582</v>
      </c>
      <c r="M275" s="12">
        <v>43580</v>
      </c>
      <c r="N275" s="11">
        <v>43583</v>
      </c>
      <c r="O275" s="12">
        <v>43583</v>
      </c>
      <c r="P275" s="11">
        <v>43589</v>
      </c>
      <c r="Q275" s="12">
        <v>43580</v>
      </c>
      <c r="R275" s="11">
        <v>43580</v>
      </c>
      <c r="S275" s="12">
        <v>43581</v>
      </c>
      <c r="T275" s="11">
        <v>43581</v>
      </c>
      <c r="U275" s="12">
        <v>43585</v>
      </c>
      <c r="V275" s="11">
        <v>43578</v>
      </c>
      <c r="W275" s="12">
        <v>43591</v>
      </c>
      <c r="X275" s="11">
        <v>43583</v>
      </c>
      <c r="Y275" s="12">
        <v>43583</v>
      </c>
      <c r="Z275" s="11">
        <v>43588</v>
      </c>
      <c r="AA275" s="12">
        <v>43577</v>
      </c>
      <c r="AB275" s="11">
        <v>43579</v>
      </c>
      <c r="AC275" s="12">
        <v>43582</v>
      </c>
      <c r="AD275" s="34"/>
      <c r="AE275" s="33">
        <f t="shared" si="54"/>
        <v>43575</v>
      </c>
      <c r="AF275" s="33">
        <f t="shared" si="55"/>
        <v>43582.5</v>
      </c>
      <c r="AG275" s="33">
        <f t="shared" si="56"/>
        <v>43591</v>
      </c>
      <c r="AH275">
        <v>340</v>
      </c>
      <c r="AK275" s="36" t="str">
        <f t="shared" si="57"/>
        <v/>
      </c>
      <c r="AL275" t="str">
        <f t="shared" si="58"/>
        <v/>
      </c>
      <c r="AM275" t="s">
        <v>393</v>
      </c>
      <c r="AN275">
        <f t="shared" si="59"/>
        <v>16</v>
      </c>
      <c r="AO275" t="str">
        <f t="shared" si="53"/>
        <v>20.4.---27.4.---6.5.</v>
      </c>
      <c r="AP275" t="str">
        <f t="shared" si="60"/>
        <v>Leppälintu</v>
      </c>
      <c r="AQ275" t="str">
        <f t="shared" si="61"/>
        <v>(20.4.---27.4.---6.5.)</v>
      </c>
    </row>
    <row r="276" spans="1:43" x14ac:dyDescent="0.2">
      <c r="A276" s="1"/>
      <c r="B276" s="9">
        <f t="shared" si="52"/>
        <v>270</v>
      </c>
      <c r="C276" s="10"/>
      <c r="D276" s="18" t="s">
        <v>269</v>
      </c>
      <c r="E276" s="10"/>
      <c r="F276" s="11">
        <v>43582</v>
      </c>
      <c r="G276" s="12">
        <v>43589</v>
      </c>
      <c r="H276" s="11">
        <v>43584</v>
      </c>
      <c r="I276" s="12">
        <v>43588</v>
      </c>
      <c r="J276" s="11">
        <v>43589</v>
      </c>
      <c r="K276" s="12">
        <v>43591</v>
      </c>
      <c r="L276" s="11">
        <v>43584</v>
      </c>
      <c r="M276" s="12">
        <v>43591</v>
      </c>
      <c r="N276" s="11">
        <v>43585</v>
      </c>
      <c r="O276" s="12">
        <v>43586</v>
      </c>
      <c r="P276" s="11">
        <v>43589</v>
      </c>
      <c r="Q276" s="12">
        <v>43579</v>
      </c>
      <c r="R276" s="11">
        <v>43575</v>
      </c>
      <c r="S276" s="12">
        <v>43581</v>
      </c>
      <c r="T276" s="11">
        <v>43587</v>
      </c>
      <c r="U276" s="12">
        <v>43586</v>
      </c>
      <c r="V276" s="11">
        <v>43585</v>
      </c>
      <c r="W276" s="12">
        <v>43591</v>
      </c>
      <c r="X276" s="11">
        <v>43589</v>
      </c>
      <c r="Y276" s="12">
        <v>43578</v>
      </c>
      <c r="Z276" s="11">
        <v>43587</v>
      </c>
      <c r="AA276" s="12">
        <v>43590</v>
      </c>
      <c r="AB276" s="11">
        <v>43589</v>
      </c>
      <c r="AC276" s="12">
        <v>43583</v>
      </c>
      <c r="AD276" s="34"/>
      <c r="AE276" s="33">
        <f t="shared" si="54"/>
        <v>43575</v>
      </c>
      <c r="AF276" s="33">
        <f t="shared" si="55"/>
        <v>43586.5</v>
      </c>
      <c r="AG276" s="33">
        <f t="shared" si="56"/>
        <v>43591</v>
      </c>
      <c r="AH276">
        <v>341</v>
      </c>
      <c r="AK276" s="36" t="str">
        <f t="shared" si="57"/>
        <v/>
      </c>
      <c r="AL276" t="str">
        <f t="shared" si="58"/>
        <v/>
      </c>
      <c r="AM276" t="s">
        <v>393</v>
      </c>
      <c r="AN276">
        <f t="shared" si="59"/>
        <v>16</v>
      </c>
      <c r="AO276" t="str">
        <f t="shared" si="53"/>
        <v>20.4.---1.5.---6.5.</v>
      </c>
      <c r="AP276" t="str">
        <f t="shared" si="60"/>
        <v>Pensastasku</v>
      </c>
      <c r="AQ276" t="str">
        <f t="shared" si="61"/>
        <v>(20.4.---1.5.---6.5.)</v>
      </c>
    </row>
    <row r="277" spans="1:43" x14ac:dyDescent="0.2">
      <c r="A277" s="1"/>
      <c r="B277" s="9">
        <f t="shared" si="52"/>
        <v>271</v>
      </c>
      <c r="C277" s="10"/>
      <c r="D277" s="19" t="s">
        <v>270</v>
      </c>
      <c r="E277" s="14"/>
      <c r="F277" s="11"/>
      <c r="G277" s="12"/>
      <c r="H277" s="11"/>
      <c r="I277" s="12">
        <v>43624</v>
      </c>
      <c r="J277" s="11"/>
      <c r="K277" s="12"/>
      <c r="L277" s="11"/>
      <c r="M277" s="12"/>
      <c r="N277" s="11">
        <v>43743</v>
      </c>
      <c r="O277" s="12"/>
      <c r="P277" s="11"/>
      <c r="Q277" s="12">
        <v>43718</v>
      </c>
      <c r="R277" s="11"/>
      <c r="S277" s="12">
        <v>43730</v>
      </c>
      <c r="T277" s="11">
        <v>43605</v>
      </c>
      <c r="U277" s="12">
        <v>43590</v>
      </c>
      <c r="V277" s="11"/>
      <c r="W277" s="12"/>
      <c r="X277" s="11"/>
      <c r="Y277" s="12">
        <v>43600</v>
      </c>
      <c r="Z277" s="11">
        <v>43589</v>
      </c>
      <c r="AA277" s="12">
        <v>43726</v>
      </c>
      <c r="AB277" s="11"/>
      <c r="AC277" s="12" t="s">
        <v>393</v>
      </c>
      <c r="AD277" s="34"/>
      <c r="AE277" s="33">
        <f t="shared" si="54"/>
        <v>43589</v>
      </c>
      <c r="AF277" s="33">
        <f t="shared" si="55"/>
        <v>43624</v>
      </c>
      <c r="AG277" s="33">
        <f t="shared" si="56"/>
        <v>43743</v>
      </c>
      <c r="AH277">
        <v>343</v>
      </c>
      <c r="AK277" s="36" t="str">
        <f t="shared" si="57"/>
        <v/>
      </c>
      <c r="AL277" t="str">
        <f t="shared" si="58"/>
        <v/>
      </c>
      <c r="AM277" t="s">
        <v>393</v>
      </c>
      <c r="AN277">
        <f t="shared" si="59"/>
        <v>154</v>
      </c>
      <c r="AO277" t="str">
        <f t="shared" si="53"/>
        <v>4.5.---8.6.---5.10.</v>
      </c>
      <c r="AP277" t="str">
        <f t="shared" si="60"/>
        <v>Sepeltasku</v>
      </c>
      <c r="AQ277" t="str">
        <f t="shared" si="61"/>
        <v>(4.5.---8.6.---5.10.)</v>
      </c>
    </row>
    <row r="278" spans="1:43" x14ac:dyDescent="0.2">
      <c r="A278" s="1"/>
      <c r="B278" s="9">
        <f t="shared" si="52"/>
        <v>272</v>
      </c>
      <c r="C278" s="10"/>
      <c r="D278" s="13" t="s">
        <v>271</v>
      </c>
      <c r="E278" s="14"/>
      <c r="F278" s="11"/>
      <c r="G278" s="12"/>
      <c r="H278" s="11"/>
      <c r="I278" s="12"/>
      <c r="J278" s="11"/>
      <c r="K278" s="12"/>
      <c r="L278" s="11">
        <v>43584</v>
      </c>
      <c r="M278" s="12"/>
      <c r="N278" s="11"/>
      <c r="O278" s="12"/>
      <c r="P278" s="11"/>
      <c r="Q278" s="12"/>
      <c r="R278" s="11"/>
      <c r="S278" s="12"/>
      <c r="T278" s="11"/>
      <c r="U278" s="12">
        <v>43667</v>
      </c>
      <c r="V278" s="11"/>
      <c r="W278" s="12">
        <v>43590</v>
      </c>
      <c r="X278" s="11"/>
      <c r="Y278" s="12"/>
      <c r="Z278" s="11"/>
      <c r="AA278" s="12">
        <v>43555</v>
      </c>
      <c r="AB278" s="11"/>
      <c r="AC278" s="12">
        <v>43570</v>
      </c>
      <c r="AD278" s="34"/>
      <c r="AE278" s="33">
        <f t="shared" si="54"/>
        <v>43555</v>
      </c>
      <c r="AF278" s="33">
        <f t="shared" si="55"/>
        <v>43584</v>
      </c>
      <c r="AG278" s="33">
        <f t="shared" si="56"/>
        <v>43667</v>
      </c>
      <c r="AH278">
        <v>344</v>
      </c>
      <c r="AK278" s="36" t="str">
        <f t="shared" si="57"/>
        <v/>
      </c>
      <c r="AL278" t="str">
        <f t="shared" si="58"/>
        <v/>
      </c>
      <c r="AM278" t="s">
        <v>393</v>
      </c>
      <c r="AN278">
        <f t="shared" si="59"/>
        <v>112</v>
      </c>
      <c r="AO278" t="str">
        <f t="shared" si="53"/>
        <v>31.3.---29.4.---21.7.</v>
      </c>
      <c r="AP278" t="str">
        <f t="shared" si="60"/>
        <v>Mustapäätasku</v>
      </c>
      <c r="AQ278" t="str">
        <f t="shared" si="61"/>
        <v>(31.3.---29.4.---21.7.)</v>
      </c>
    </row>
    <row r="279" spans="1:43" x14ac:dyDescent="0.2">
      <c r="A279" s="1"/>
      <c r="B279" s="9">
        <f t="shared" si="52"/>
        <v>273</v>
      </c>
      <c r="C279" s="10"/>
      <c r="D279" s="15" t="s">
        <v>272</v>
      </c>
      <c r="E279" s="16"/>
      <c r="F279" s="11"/>
      <c r="G279" s="12"/>
      <c r="H279" s="11"/>
      <c r="I279" s="12"/>
      <c r="J279" s="11"/>
      <c r="K279" s="12"/>
      <c r="L279" s="11"/>
      <c r="M279" s="12">
        <v>43744</v>
      </c>
      <c r="N279" s="11"/>
      <c r="O279" s="12"/>
      <c r="P279" s="11"/>
      <c r="Q279" s="12">
        <v>43696</v>
      </c>
      <c r="R279" s="11"/>
      <c r="S279" s="12"/>
      <c r="T279" s="11"/>
      <c r="U279" s="12"/>
      <c r="V279" s="11"/>
      <c r="W279" s="12"/>
      <c r="X279" s="11"/>
      <c r="Y279" s="12"/>
      <c r="Z279" s="11"/>
      <c r="AA279" s="12">
        <v>43751</v>
      </c>
      <c r="AB279" s="11"/>
      <c r="AC279" s="12">
        <v>43746</v>
      </c>
      <c r="AD279" s="34"/>
      <c r="AE279" s="33">
        <f t="shared" si="54"/>
        <v>43696</v>
      </c>
      <c r="AF279" s="33">
        <f t="shared" si="55"/>
        <v>43745</v>
      </c>
      <c r="AG279" s="33">
        <f t="shared" si="56"/>
        <v>43751</v>
      </c>
      <c r="AH279">
        <v>345</v>
      </c>
      <c r="AK279" s="36" t="str">
        <f t="shared" si="57"/>
        <v/>
      </c>
      <c r="AL279" t="str">
        <f t="shared" si="58"/>
        <v/>
      </c>
      <c r="AM279" t="s">
        <v>393</v>
      </c>
      <c r="AN279">
        <f t="shared" si="59"/>
        <v>55</v>
      </c>
      <c r="AO279" t="str">
        <f t="shared" si="53"/>
        <v>19.8.---7.10.---13.10.</v>
      </c>
      <c r="AP279" t="str">
        <f t="shared" si="60"/>
        <v>Arotasku</v>
      </c>
      <c r="AQ279" t="str">
        <f t="shared" si="61"/>
        <v>(19.8.---7.10.---13.10.)</v>
      </c>
    </row>
    <row r="280" spans="1:43" x14ac:dyDescent="0.2">
      <c r="A280" s="1"/>
      <c r="B280" s="9">
        <f t="shared" si="52"/>
        <v>274</v>
      </c>
      <c r="C280" s="10"/>
      <c r="D280" s="9" t="s">
        <v>273</v>
      </c>
      <c r="E280" s="10"/>
      <c r="F280" s="11">
        <v>43572</v>
      </c>
      <c r="G280" s="12">
        <v>43576</v>
      </c>
      <c r="H280" s="11">
        <v>43577</v>
      </c>
      <c r="I280" s="12">
        <v>43576</v>
      </c>
      <c r="J280" s="11">
        <v>43564</v>
      </c>
      <c r="K280" s="12">
        <v>43570</v>
      </c>
      <c r="L280" s="11">
        <v>43571</v>
      </c>
      <c r="M280" s="12">
        <v>43572</v>
      </c>
      <c r="N280" s="11">
        <v>43572</v>
      </c>
      <c r="O280" s="12">
        <v>43568</v>
      </c>
      <c r="P280" s="11">
        <v>43562</v>
      </c>
      <c r="Q280" s="12">
        <v>43570</v>
      </c>
      <c r="R280" s="11">
        <v>43569</v>
      </c>
      <c r="S280" s="12">
        <v>43575</v>
      </c>
      <c r="T280" s="11">
        <v>43573</v>
      </c>
      <c r="U280" s="12">
        <v>43576</v>
      </c>
      <c r="V280" s="11">
        <v>43567</v>
      </c>
      <c r="W280" s="12">
        <v>43580</v>
      </c>
      <c r="X280" s="11">
        <v>43571</v>
      </c>
      <c r="Y280" s="12">
        <v>43574</v>
      </c>
      <c r="Z280" s="11">
        <v>43565</v>
      </c>
      <c r="AA280" s="12">
        <v>43570</v>
      </c>
      <c r="AB280" s="11">
        <v>43576</v>
      </c>
      <c r="AC280" s="12">
        <v>43570</v>
      </c>
      <c r="AD280" s="34"/>
      <c r="AE280" s="33">
        <f t="shared" si="54"/>
        <v>43562</v>
      </c>
      <c r="AF280" s="33">
        <f t="shared" si="55"/>
        <v>43571.5</v>
      </c>
      <c r="AG280" s="33">
        <f t="shared" si="56"/>
        <v>43580</v>
      </c>
      <c r="AH280">
        <v>346</v>
      </c>
      <c r="AK280" s="36" t="str">
        <f t="shared" si="57"/>
        <v/>
      </c>
      <c r="AL280" t="str">
        <f t="shared" si="58"/>
        <v/>
      </c>
      <c r="AM280" t="s">
        <v>393</v>
      </c>
      <c r="AN280">
        <f t="shared" si="59"/>
        <v>18</v>
      </c>
      <c r="AO280" t="str">
        <f t="shared" si="53"/>
        <v>7.4.---16.4.---25.4.</v>
      </c>
      <c r="AP280" t="str">
        <f t="shared" si="60"/>
        <v>Kivitasku</v>
      </c>
      <c r="AQ280" t="str">
        <f t="shared" si="61"/>
        <v>(7.4.---16.4.---25.4.)</v>
      </c>
    </row>
    <row r="281" spans="1:43" x14ac:dyDescent="0.2">
      <c r="A281" s="1"/>
      <c r="B281" s="9">
        <f t="shared" si="52"/>
        <v>275</v>
      </c>
      <c r="C281" s="10"/>
      <c r="D281" s="15" t="s">
        <v>274</v>
      </c>
      <c r="E281" s="16"/>
      <c r="F281" s="11"/>
      <c r="G281" s="12"/>
      <c r="H281" s="11"/>
      <c r="I281" s="12"/>
      <c r="J281" s="11">
        <v>43725</v>
      </c>
      <c r="K281" s="12"/>
      <c r="L281" s="11"/>
      <c r="M281" s="12"/>
      <c r="N281" s="11">
        <v>43776</v>
      </c>
      <c r="O281" s="12"/>
      <c r="P281" s="11">
        <v>43768</v>
      </c>
      <c r="Q281" s="12"/>
      <c r="R281" s="11"/>
      <c r="S281" s="12"/>
      <c r="T281" s="11">
        <v>43747</v>
      </c>
      <c r="U281" s="12"/>
      <c r="V281" s="11"/>
      <c r="W281" s="12"/>
      <c r="X281" s="11"/>
      <c r="Y281" s="12"/>
      <c r="Z281" s="11">
        <v>43742</v>
      </c>
      <c r="AA281" s="12">
        <v>43756</v>
      </c>
      <c r="AB281" s="11">
        <v>43599</v>
      </c>
      <c r="AC281" s="12" t="s">
        <v>393</v>
      </c>
      <c r="AD281" s="34"/>
      <c r="AE281" s="33">
        <f t="shared" si="54"/>
        <v>43599</v>
      </c>
      <c r="AF281" s="33">
        <f t="shared" si="55"/>
        <v>43747</v>
      </c>
      <c r="AG281" s="33">
        <f t="shared" si="56"/>
        <v>43776</v>
      </c>
      <c r="AH281">
        <v>347</v>
      </c>
      <c r="AK281" s="36" t="str">
        <f t="shared" si="57"/>
        <v/>
      </c>
      <c r="AL281" t="str">
        <f t="shared" si="58"/>
        <v/>
      </c>
      <c r="AM281" t="s">
        <v>393</v>
      </c>
      <c r="AN281">
        <f t="shared" si="59"/>
        <v>177</v>
      </c>
      <c r="AO281" t="str">
        <f t="shared" si="53"/>
        <v>14.5.---9.10.---7.11.</v>
      </c>
      <c r="AP281" t="str">
        <f t="shared" si="60"/>
        <v>Nunnatasku</v>
      </c>
      <c r="AQ281" t="str">
        <f t="shared" si="61"/>
        <v>(14.5.---9.10.---7.11.)</v>
      </c>
    </row>
    <row r="282" spans="1:43" x14ac:dyDescent="0.2">
      <c r="A282" s="1"/>
      <c r="B282" s="9">
        <f t="shared" si="52"/>
        <v>276</v>
      </c>
      <c r="C282" s="10"/>
      <c r="D282" s="19" t="s">
        <v>275</v>
      </c>
      <c r="E282" s="16"/>
      <c r="F282" s="11"/>
      <c r="G282" s="12"/>
      <c r="H282" s="11"/>
      <c r="I282" s="12">
        <v>43742</v>
      </c>
      <c r="J282" s="11"/>
      <c r="K282" s="12"/>
      <c r="L282" s="11"/>
      <c r="M282" s="12"/>
      <c r="N282" s="11"/>
      <c r="O282" s="12"/>
      <c r="P282" s="11"/>
      <c r="Q282" s="12">
        <v>43769</v>
      </c>
      <c r="R282" s="11"/>
      <c r="S282" s="12"/>
      <c r="T282" s="11"/>
      <c r="U282" s="12"/>
      <c r="V282" s="11">
        <v>43600</v>
      </c>
      <c r="W282" s="12"/>
      <c r="X282" s="11"/>
      <c r="Y282" s="12"/>
      <c r="Z282" s="11"/>
      <c r="AA282" s="12"/>
      <c r="AB282" s="11"/>
      <c r="AC282" s="12" t="s">
        <v>393</v>
      </c>
      <c r="AD282" s="34"/>
      <c r="AE282" s="33">
        <f t="shared" si="54"/>
        <v>43600</v>
      </c>
      <c r="AF282" s="33">
        <f t="shared" si="55"/>
        <v>43742</v>
      </c>
      <c r="AG282" s="33">
        <f t="shared" si="56"/>
        <v>43769</v>
      </c>
      <c r="AH282">
        <v>349</v>
      </c>
      <c r="AK282" s="36" t="str">
        <f t="shared" si="57"/>
        <v/>
      </c>
      <c r="AL282" t="str">
        <f t="shared" si="58"/>
        <v/>
      </c>
      <c r="AM282" t="s">
        <v>393</v>
      </c>
      <c r="AN282">
        <f t="shared" si="59"/>
        <v>169</v>
      </c>
      <c r="AO282" t="str">
        <f t="shared" si="53"/>
        <v>15.5.---4.10.---31.10.</v>
      </c>
      <c r="AP282" t="str">
        <f t="shared" si="60"/>
        <v>Aavikkotasku</v>
      </c>
      <c r="AQ282" t="str">
        <f t="shared" si="61"/>
        <v>(15.5.---4.10.---31.10.)</v>
      </c>
    </row>
    <row r="283" spans="1:43" x14ac:dyDescent="0.2">
      <c r="A283" s="1"/>
      <c r="B283" s="9">
        <f t="shared" si="52"/>
        <v>277</v>
      </c>
      <c r="C283" s="10"/>
      <c r="D283" s="15" t="s">
        <v>276</v>
      </c>
      <c r="E283" s="16"/>
      <c r="F283" s="11"/>
      <c r="G283" s="12"/>
      <c r="H283" s="11"/>
      <c r="I283" s="12"/>
      <c r="J283" s="11"/>
      <c r="K283" s="12"/>
      <c r="L283" s="11"/>
      <c r="M283" s="12"/>
      <c r="N283" s="11"/>
      <c r="O283" s="12"/>
      <c r="P283" s="11"/>
      <c r="Q283" s="12"/>
      <c r="R283" s="11"/>
      <c r="S283" s="12"/>
      <c r="T283" s="11"/>
      <c r="U283" s="12"/>
      <c r="V283" s="11"/>
      <c r="W283" s="12"/>
      <c r="X283" s="11"/>
      <c r="Y283" s="12"/>
      <c r="Z283" s="11"/>
      <c r="AA283" s="12"/>
      <c r="AB283" s="11"/>
      <c r="AC283" s="12" t="s">
        <v>393</v>
      </c>
      <c r="AD283" s="34"/>
      <c r="AE283" s="33" t="str">
        <f t="shared" si="54"/>
        <v/>
      </c>
      <c r="AF283" s="33" t="str">
        <f t="shared" si="55"/>
        <v/>
      </c>
      <c r="AG283" s="33" t="str">
        <f t="shared" si="56"/>
        <v/>
      </c>
      <c r="AH283">
        <v>350</v>
      </c>
      <c r="AK283" s="36" t="str">
        <f t="shared" si="57"/>
        <v/>
      </c>
      <c r="AL283" t="str">
        <f t="shared" si="58"/>
        <v/>
      </c>
      <c r="AM283" t="s">
        <v>393</v>
      </c>
      <c r="AN283" t="e">
        <f t="shared" si="59"/>
        <v>#VALUE!</v>
      </c>
      <c r="AO283" t="str">
        <f t="shared" si="53"/>
        <v>------</v>
      </c>
      <c r="AP283" t="str">
        <f t="shared" si="60"/>
        <v>Kivikkorastas</v>
      </c>
      <c r="AQ283" t="str">
        <f t="shared" si="61"/>
        <v>(------)</v>
      </c>
    </row>
    <row r="284" spans="1:43" x14ac:dyDescent="0.2">
      <c r="A284" s="1"/>
      <c r="B284" s="9">
        <f t="shared" si="52"/>
        <v>278</v>
      </c>
      <c r="C284" s="10"/>
      <c r="D284" s="15" t="s">
        <v>277</v>
      </c>
      <c r="E284" s="16"/>
      <c r="F284" s="11"/>
      <c r="G284" s="12"/>
      <c r="H284" s="11"/>
      <c r="I284" s="12"/>
      <c r="J284" s="11"/>
      <c r="K284" s="12"/>
      <c r="L284" s="11"/>
      <c r="M284" s="12"/>
      <c r="N284" s="11"/>
      <c r="O284" s="12"/>
      <c r="P284" s="11"/>
      <c r="Q284" s="12"/>
      <c r="R284" s="11"/>
      <c r="S284" s="12"/>
      <c r="T284" s="11"/>
      <c r="U284" s="12"/>
      <c r="V284" s="11"/>
      <c r="W284" s="12"/>
      <c r="X284" s="11"/>
      <c r="Y284" s="12"/>
      <c r="Z284" s="11"/>
      <c r="AA284" s="12"/>
      <c r="AB284" s="11"/>
      <c r="AC284" s="12" t="s">
        <v>393</v>
      </c>
      <c r="AD284" s="34"/>
      <c r="AE284" s="33" t="str">
        <f t="shared" si="54"/>
        <v/>
      </c>
      <c r="AF284" s="33" t="str">
        <f t="shared" si="55"/>
        <v/>
      </c>
      <c r="AG284" s="33" t="str">
        <f t="shared" si="56"/>
        <v/>
      </c>
      <c r="AH284">
        <v>352</v>
      </c>
      <c r="AK284" s="36" t="str">
        <f t="shared" si="57"/>
        <v/>
      </c>
      <c r="AL284" t="str">
        <f t="shared" si="58"/>
        <v/>
      </c>
      <c r="AM284" t="s">
        <v>393</v>
      </c>
      <c r="AN284" t="e">
        <f t="shared" si="59"/>
        <v>#VALUE!</v>
      </c>
      <c r="AO284" t="str">
        <f t="shared" si="53"/>
        <v>------</v>
      </c>
      <c r="AP284" t="str">
        <f t="shared" si="60"/>
        <v>Kirjorastas</v>
      </c>
      <c r="AQ284" t="str">
        <f t="shared" si="61"/>
        <v>(------)</v>
      </c>
    </row>
    <row r="285" spans="1:43" x14ac:dyDescent="0.2">
      <c r="A285" s="1"/>
      <c r="B285" s="9">
        <f t="shared" si="52"/>
        <v>279</v>
      </c>
      <c r="C285" s="10"/>
      <c r="D285" s="9" t="s">
        <v>278</v>
      </c>
      <c r="E285" s="10"/>
      <c r="F285" s="11">
        <v>43571</v>
      </c>
      <c r="G285" s="12">
        <v>43592</v>
      </c>
      <c r="H285" s="11">
        <v>43579</v>
      </c>
      <c r="I285" s="12">
        <v>43573</v>
      </c>
      <c r="J285" s="11">
        <v>43571</v>
      </c>
      <c r="K285" s="12">
        <v>43569</v>
      </c>
      <c r="L285" s="11">
        <v>43576</v>
      </c>
      <c r="M285" s="12">
        <v>43577</v>
      </c>
      <c r="N285" s="11">
        <v>43580</v>
      </c>
      <c r="O285" s="12">
        <v>43566</v>
      </c>
      <c r="P285" s="11">
        <v>43580</v>
      </c>
      <c r="Q285" s="12">
        <v>43577</v>
      </c>
      <c r="R285" s="11">
        <v>43573</v>
      </c>
      <c r="S285" s="12">
        <v>43577</v>
      </c>
      <c r="T285" s="11">
        <v>43567</v>
      </c>
      <c r="U285" s="12">
        <v>43552</v>
      </c>
      <c r="V285" s="11">
        <v>43568</v>
      </c>
      <c r="W285" s="12">
        <v>43582</v>
      </c>
      <c r="X285" s="11">
        <v>43570</v>
      </c>
      <c r="Y285" s="12">
        <v>43576</v>
      </c>
      <c r="Z285" s="11">
        <v>43571</v>
      </c>
      <c r="AA285" s="12">
        <v>43571</v>
      </c>
      <c r="AB285" s="11">
        <v>43578</v>
      </c>
      <c r="AC285" s="12">
        <v>43568</v>
      </c>
      <c r="AD285" s="34"/>
      <c r="AE285" s="33">
        <f t="shared" si="54"/>
        <v>43552</v>
      </c>
      <c r="AF285" s="33">
        <f t="shared" si="55"/>
        <v>43573</v>
      </c>
      <c r="AG285" s="33">
        <f t="shared" si="56"/>
        <v>43592</v>
      </c>
      <c r="AH285">
        <v>354</v>
      </c>
      <c r="AK285" s="36" t="str">
        <f t="shared" si="57"/>
        <v/>
      </c>
      <c r="AL285" t="str">
        <f t="shared" si="58"/>
        <v/>
      </c>
      <c r="AM285" t="s">
        <v>393</v>
      </c>
      <c r="AN285">
        <f t="shared" si="59"/>
        <v>40</v>
      </c>
      <c r="AO285" t="str">
        <f t="shared" si="53"/>
        <v>28.3.---18.4.---7.5.</v>
      </c>
      <c r="AP285" t="str">
        <f t="shared" si="60"/>
        <v>Sepelrastas</v>
      </c>
      <c r="AQ285" t="str">
        <f t="shared" si="61"/>
        <v>(28.3.---18.4.---7.5.)</v>
      </c>
    </row>
    <row r="286" spans="1:43" x14ac:dyDescent="0.2">
      <c r="A286" s="1"/>
      <c r="B286" s="9">
        <f t="shared" ref="B286:B309" si="62">B285+1</f>
        <v>280</v>
      </c>
      <c r="C286" s="10"/>
      <c r="D286" s="9" t="s">
        <v>279</v>
      </c>
      <c r="E286" s="10"/>
      <c r="F286" s="11">
        <f>IF(AG1,DATE(2019,1,1),DATE(2019,3,31))</f>
        <v>43555</v>
      </c>
      <c r="G286" s="12">
        <f>IF(AG1,DATE(2019,1,1),DATE(2019,3,31))</f>
        <v>43555</v>
      </c>
      <c r="H286" s="11">
        <f>IF(AG1,DATE(2019,1,6),DATE(2019,3,29))</f>
        <v>43553</v>
      </c>
      <c r="I286" s="12">
        <f>IF(AG1,DATE(2019,1,1),DATE(2019,3,29))</f>
        <v>43553</v>
      </c>
      <c r="J286" s="11">
        <f>IF(AG1,DATE(2019,1,1),DATE(2019,3,17))</f>
        <v>43541</v>
      </c>
      <c r="K286" s="12">
        <f>IF(AG1,DATE(2019,1,1),DATE(2019,3,31))</f>
        <v>43555</v>
      </c>
      <c r="L286" s="11">
        <f>IF(AG1,DATE(2019,1,1),DATE(2019,3,20))</f>
        <v>43544</v>
      </c>
      <c r="M286" s="12">
        <v>43466</v>
      </c>
      <c r="N286" s="11">
        <v>43466</v>
      </c>
      <c r="O286" s="12">
        <v>43466</v>
      </c>
      <c r="P286" s="11">
        <v>43466</v>
      </c>
      <c r="Q286" s="12">
        <v>43466</v>
      </c>
      <c r="R286" s="11">
        <f>IF(AG1,DATE(2019,1,1),DATE(2019,3,8))</f>
        <v>43532</v>
      </c>
      <c r="S286" s="12">
        <v>43466</v>
      </c>
      <c r="T286" s="11">
        <v>43466</v>
      </c>
      <c r="U286" s="12">
        <v>43466</v>
      </c>
      <c r="V286" s="11">
        <f>IF(AG1,DATE(2019,1,1),DATE(2019,3,15))</f>
        <v>43539</v>
      </c>
      <c r="W286" s="12">
        <v>43466</v>
      </c>
      <c r="X286" s="11">
        <v>43466</v>
      </c>
      <c r="Y286" s="12">
        <f>IF(AG1,DATE(2019,1,1),DATE(2019,3,23))</f>
        <v>43547</v>
      </c>
      <c r="Z286" s="11">
        <v>43466</v>
      </c>
      <c r="AA286" s="12">
        <v>43466</v>
      </c>
      <c r="AB286" s="11">
        <v>43466</v>
      </c>
      <c r="AC286" s="12">
        <v>43466</v>
      </c>
      <c r="AD286" s="34"/>
      <c r="AE286" s="33">
        <f t="shared" si="54"/>
        <v>43466</v>
      </c>
      <c r="AF286" s="33">
        <f t="shared" si="55"/>
        <v>43466</v>
      </c>
      <c r="AG286" s="33">
        <f t="shared" si="56"/>
        <v>43555</v>
      </c>
      <c r="AH286">
        <v>355</v>
      </c>
      <c r="AK286" s="36" t="str">
        <f t="shared" si="57"/>
        <v/>
      </c>
      <c r="AL286">
        <f t="shared" si="58"/>
        <v>11</v>
      </c>
      <c r="AM286">
        <v>21</v>
      </c>
      <c r="AN286">
        <f t="shared" si="59"/>
        <v>89</v>
      </c>
      <c r="AO286" t="str">
        <f t="shared" si="53"/>
        <v>1.1.---1.1.---31.3.</v>
      </c>
      <c r="AP286" t="str">
        <f t="shared" si="60"/>
        <v>Mustarastas</v>
      </c>
      <c r="AQ286" t="str">
        <f t="shared" si="61"/>
        <v>(1.1.---1.1.---31.3., 21/21)</v>
      </c>
    </row>
    <row r="287" spans="1:43" x14ac:dyDescent="0.2">
      <c r="A287" s="1"/>
      <c r="B287" s="9">
        <f t="shared" si="62"/>
        <v>281</v>
      </c>
      <c r="C287" s="10"/>
      <c r="D287" s="15" t="s">
        <v>280</v>
      </c>
      <c r="E287" s="16"/>
      <c r="F287" s="11"/>
      <c r="G287" s="12"/>
      <c r="H287" s="11"/>
      <c r="I287" s="12"/>
      <c r="J287" s="11"/>
      <c r="K287" s="12"/>
      <c r="L287" s="11"/>
      <c r="M287" s="12"/>
      <c r="N287" s="11"/>
      <c r="O287" s="12"/>
      <c r="P287" s="11"/>
      <c r="Q287" s="12"/>
      <c r="R287" s="11"/>
      <c r="S287" s="12"/>
      <c r="T287" s="11"/>
      <c r="U287" s="12"/>
      <c r="V287" s="11"/>
      <c r="W287" s="12"/>
      <c r="X287" s="11"/>
      <c r="Y287" s="12"/>
      <c r="Z287" s="11"/>
      <c r="AA287" s="12"/>
      <c r="AB287" s="11"/>
      <c r="AC287" s="12" t="s">
        <v>393</v>
      </c>
      <c r="AD287" s="34"/>
      <c r="AE287" s="33" t="str">
        <f t="shared" si="54"/>
        <v/>
      </c>
      <c r="AF287" s="33" t="str">
        <f t="shared" si="55"/>
        <v/>
      </c>
      <c r="AG287" s="33" t="str">
        <f t="shared" si="56"/>
        <v/>
      </c>
      <c r="AH287">
        <v>356</v>
      </c>
      <c r="AK287" s="36" t="str">
        <f t="shared" si="57"/>
        <v/>
      </c>
      <c r="AL287" t="str">
        <f t="shared" si="58"/>
        <v/>
      </c>
      <c r="AM287" t="s">
        <v>393</v>
      </c>
      <c r="AN287" t="e">
        <f t="shared" si="59"/>
        <v>#VALUE!</v>
      </c>
      <c r="AO287" t="str">
        <f t="shared" si="53"/>
        <v>------</v>
      </c>
      <c r="AP287" t="str">
        <f t="shared" si="60"/>
        <v>Harmaakurkkurastas</v>
      </c>
      <c r="AQ287" t="str">
        <f t="shared" si="61"/>
        <v>(------)</v>
      </c>
    </row>
    <row r="288" spans="1:43" x14ac:dyDescent="0.2">
      <c r="A288" s="1"/>
      <c r="B288" s="9">
        <f t="shared" si="62"/>
        <v>282</v>
      </c>
      <c r="C288" s="10"/>
      <c r="D288" s="15" t="s">
        <v>281</v>
      </c>
      <c r="E288" s="16"/>
      <c r="F288" s="11"/>
      <c r="G288" s="12"/>
      <c r="H288" s="11"/>
      <c r="I288" s="12"/>
      <c r="J288" s="11"/>
      <c r="K288" s="12">
        <v>43826</v>
      </c>
      <c r="L288" s="11">
        <v>43480</v>
      </c>
      <c r="M288" s="12"/>
      <c r="N288" s="11"/>
      <c r="O288" s="12"/>
      <c r="P288" s="11"/>
      <c r="Q288" s="12"/>
      <c r="R288" s="11"/>
      <c r="S288" s="12"/>
      <c r="T288" s="11"/>
      <c r="U288" s="12"/>
      <c r="V288" s="11"/>
      <c r="W288" s="12"/>
      <c r="X288" s="11"/>
      <c r="Y288" s="12"/>
      <c r="Z288" s="11"/>
      <c r="AA288" s="12"/>
      <c r="AB288" s="11"/>
      <c r="AC288" s="12" t="s">
        <v>393</v>
      </c>
      <c r="AD288" s="34"/>
      <c r="AE288" s="33">
        <f t="shared" si="54"/>
        <v>43480</v>
      </c>
      <c r="AF288" s="33">
        <f t="shared" si="55"/>
        <v>43653</v>
      </c>
      <c r="AG288" s="33">
        <f t="shared" si="56"/>
        <v>43826</v>
      </c>
      <c r="AH288">
        <v>358</v>
      </c>
      <c r="AK288" s="36" t="str">
        <f t="shared" si="57"/>
        <v/>
      </c>
      <c r="AL288">
        <f t="shared" si="58"/>
        <v>1</v>
      </c>
      <c r="AM288">
        <v>1</v>
      </c>
      <c r="AN288">
        <f t="shared" si="59"/>
        <v>346</v>
      </c>
      <c r="AO288" t="str">
        <f t="shared" si="53"/>
        <v>15.1.---7.7.---27.12.</v>
      </c>
      <c r="AP288" t="str">
        <f t="shared" si="60"/>
        <v>Ruostesiipirastas</v>
      </c>
      <c r="AQ288" t="str">
        <f t="shared" si="61"/>
        <v>(15.1.---7.7.---27.12., 1/21)</v>
      </c>
    </row>
    <row r="289" spans="1:43" x14ac:dyDescent="0.2">
      <c r="A289" s="1"/>
      <c r="B289" s="9">
        <f t="shared" si="62"/>
        <v>283</v>
      </c>
      <c r="C289" s="10"/>
      <c r="D289" s="15" t="s">
        <v>282</v>
      </c>
      <c r="E289" s="16"/>
      <c r="F289" s="11"/>
      <c r="G289" s="12"/>
      <c r="H289" s="11"/>
      <c r="I289" s="12"/>
      <c r="J289" s="11"/>
      <c r="K289" s="12"/>
      <c r="L289" s="11"/>
      <c r="M289" s="12">
        <v>43480</v>
      </c>
      <c r="N289" s="11">
        <v>43743</v>
      </c>
      <c r="O289" s="12">
        <v>43565</v>
      </c>
      <c r="P289" s="11"/>
      <c r="Q289" s="12"/>
      <c r="R289" s="11"/>
      <c r="S289" s="12"/>
      <c r="T289" s="11"/>
      <c r="U289" s="12">
        <v>43750</v>
      </c>
      <c r="V289" s="11">
        <v>43764</v>
      </c>
      <c r="W289" s="12"/>
      <c r="X289" s="11"/>
      <c r="Y289" s="12"/>
      <c r="Z289" s="11">
        <v>43500</v>
      </c>
      <c r="AA289" s="12"/>
      <c r="AB289" s="11">
        <v>43595</v>
      </c>
      <c r="AC289" s="12" t="s">
        <v>393</v>
      </c>
      <c r="AD289" s="34"/>
      <c r="AE289" s="33">
        <f t="shared" si="54"/>
        <v>43480</v>
      </c>
      <c r="AF289" s="33">
        <f t="shared" si="55"/>
        <v>43595</v>
      </c>
      <c r="AG289" s="33">
        <f t="shared" si="56"/>
        <v>43764</v>
      </c>
      <c r="AH289">
        <v>359</v>
      </c>
      <c r="AK289" s="36" t="str">
        <f t="shared" si="57"/>
        <v/>
      </c>
      <c r="AL289">
        <f t="shared" si="58"/>
        <v>2</v>
      </c>
      <c r="AM289">
        <v>2</v>
      </c>
      <c r="AN289">
        <f t="shared" si="59"/>
        <v>284</v>
      </c>
      <c r="AO289" t="str">
        <f t="shared" si="53"/>
        <v>15.1.---10.5.---26.10.</v>
      </c>
      <c r="AP289" t="str">
        <f t="shared" si="60"/>
        <v>Mustakaularastas</v>
      </c>
      <c r="AQ289" t="str">
        <f t="shared" si="61"/>
        <v>(15.1.---10.5.---26.10., 2/21)</v>
      </c>
    </row>
    <row r="290" spans="1:43" x14ac:dyDescent="0.2">
      <c r="A290" s="1"/>
      <c r="B290" s="9">
        <f t="shared" si="62"/>
        <v>284</v>
      </c>
      <c r="C290" s="10"/>
      <c r="D290" s="9" t="s">
        <v>283</v>
      </c>
      <c r="E290" s="10"/>
      <c r="F290" s="11">
        <f>IF(AG1,DATE(2019,1,18),DATE(2019,3,30))</f>
        <v>43554</v>
      </c>
      <c r="G290" s="12">
        <f>IF(AG1,DATE(2019,1,1),DATE(2019,4,12))</f>
        <v>43567</v>
      </c>
      <c r="H290" s="11">
        <f>IF(AG1,DATE(2019,1,8),DATE(2019,3,16))</f>
        <v>43540</v>
      </c>
      <c r="I290" s="12">
        <v>43466</v>
      </c>
      <c r="J290" s="11">
        <f>IF(AG1,DATE(2019,1,1),DATE(2019,3,19))</f>
        <v>43543</v>
      </c>
      <c r="K290" s="12">
        <f>IF(AG1,DATE(2019,1,1),DATE(2019,4,2))</f>
        <v>43557</v>
      </c>
      <c r="L290" s="11">
        <f>IF(AG1,DATE(2019,1,1),DATE(2019,4,16))</f>
        <v>43571</v>
      </c>
      <c r="M290" s="12">
        <v>43466</v>
      </c>
      <c r="N290" s="11">
        <v>43466</v>
      </c>
      <c r="O290" s="12">
        <v>43466</v>
      </c>
      <c r="P290" s="11">
        <v>43466</v>
      </c>
      <c r="Q290" s="12">
        <v>43466</v>
      </c>
      <c r="R290" s="11">
        <f>IF(AG1,DATE(2019,1,1),DATE(2019,4,12))</f>
        <v>43567</v>
      </c>
      <c r="S290" s="12">
        <v>43466</v>
      </c>
      <c r="T290" s="11">
        <f>IF(AG1,DATE(2019,1,1),DATE(2019,3,22))</f>
        <v>43546</v>
      </c>
      <c r="U290" s="12">
        <f>IF(AG1,DATE(2019,1,1),DATE(2019,4,5))</f>
        <v>43560</v>
      </c>
      <c r="V290" s="11">
        <f>IF(AG1,DATE(2019,1,1),DATE(2019,3,27))</f>
        <v>43551</v>
      </c>
      <c r="W290" s="12">
        <f>IF(AG1,DATE(2019,1,2),DATE(2019,4,4))</f>
        <v>43559</v>
      </c>
      <c r="X290" s="11">
        <v>43466</v>
      </c>
      <c r="Y290" s="12">
        <f>IF(AG1,DATE(2019,1,1),DATE(2019,4,2))</f>
        <v>43557</v>
      </c>
      <c r="Z290" s="11">
        <v>43466</v>
      </c>
      <c r="AA290" s="12">
        <v>43466</v>
      </c>
      <c r="AB290" s="11">
        <v>43466</v>
      </c>
      <c r="AC290" s="12">
        <v>43466</v>
      </c>
      <c r="AD290" s="34"/>
      <c r="AE290" s="33">
        <f t="shared" si="54"/>
        <v>43466</v>
      </c>
      <c r="AF290" s="33">
        <f t="shared" si="55"/>
        <v>43503</v>
      </c>
      <c r="AG290" s="33">
        <f t="shared" si="56"/>
        <v>43571</v>
      </c>
      <c r="AH290">
        <v>360</v>
      </c>
      <c r="AK290" s="36" t="str">
        <f t="shared" si="57"/>
        <v/>
      </c>
      <c r="AL290">
        <f t="shared" si="58"/>
        <v>9</v>
      </c>
      <c r="AM290">
        <v>21</v>
      </c>
      <c r="AN290">
        <f t="shared" si="59"/>
        <v>105</v>
      </c>
      <c r="AO290" t="str">
        <f t="shared" si="53"/>
        <v>1.1.---7.2.---16.4.</v>
      </c>
      <c r="AP290" t="str">
        <f t="shared" si="60"/>
        <v>Räkättirastas</v>
      </c>
      <c r="AQ290" t="str">
        <f t="shared" si="61"/>
        <v>(1.1.---7.2.---16.4., 21/21)</v>
      </c>
    </row>
    <row r="291" spans="1:43" x14ac:dyDescent="0.2">
      <c r="A291" s="1"/>
      <c r="B291" s="9">
        <f t="shared" si="62"/>
        <v>285</v>
      </c>
      <c r="C291" s="10"/>
      <c r="D291" s="9" t="s">
        <v>284</v>
      </c>
      <c r="E291" s="10"/>
      <c r="F291" s="11">
        <v>43573</v>
      </c>
      <c r="G291" s="12">
        <v>43569</v>
      </c>
      <c r="H291" s="11">
        <v>43574</v>
      </c>
      <c r="I291" s="12">
        <v>43576</v>
      </c>
      <c r="J291" s="11">
        <v>43571</v>
      </c>
      <c r="K291" s="12">
        <v>43560</v>
      </c>
      <c r="L291" s="11">
        <v>43571</v>
      </c>
      <c r="M291" s="12">
        <v>43569</v>
      </c>
      <c r="N291" s="11">
        <v>43559</v>
      </c>
      <c r="O291" s="12">
        <v>43567</v>
      </c>
      <c r="P291" s="11">
        <v>43563</v>
      </c>
      <c r="Q291" s="12">
        <v>43565</v>
      </c>
      <c r="R291" s="11">
        <v>43575</v>
      </c>
      <c r="S291" s="12">
        <v>43575</v>
      </c>
      <c r="T291" s="11">
        <v>43567</v>
      </c>
      <c r="U291" s="12">
        <f>IF(AG1,DATE(2019,1,14),DATE(2019,4,1))</f>
        <v>43556</v>
      </c>
      <c r="V291" s="11">
        <v>43562</v>
      </c>
      <c r="W291" s="12">
        <v>43557</v>
      </c>
      <c r="X291" s="11">
        <f>IF(AG1,DATE(2019,1,5),DATE(2019,4,13))</f>
        <v>43568</v>
      </c>
      <c r="Y291" s="12">
        <v>43562</v>
      </c>
      <c r="Z291" s="11">
        <f>IF(AG1,DATE(2019,1,26),DATE(2019,3,21))</f>
        <v>43545</v>
      </c>
      <c r="AA291" s="12">
        <v>43562</v>
      </c>
      <c r="AB291" s="11">
        <v>43567</v>
      </c>
      <c r="AC291" s="12">
        <v>43566</v>
      </c>
      <c r="AD291" s="34"/>
      <c r="AE291" s="33">
        <f t="shared" si="54"/>
        <v>43545</v>
      </c>
      <c r="AF291" s="33">
        <f t="shared" si="55"/>
        <v>43567</v>
      </c>
      <c r="AG291" s="33">
        <f t="shared" si="56"/>
        <v>43576</v>
      </c>
      <c r="AH291">
        <v>361</v>
      </c>
      <c r="AK291" s="36" t="str">
        <f t="shared" si="57"/>
        <v/>
      </c>
      <c r="AL291" t="str">
        <f t="shared" si="58"/>
        <v/>
      </c>
      <c r="AM291">
        <v>3</v>
      </c>
      <c r="AN291">
        <f t="shared" si="59"/>
        <v>31</v>
      </c>
      <c r="AO291" t="str">
        <f t="shared" si="53"/>
        <v>21.3.---12.4.---21.4.</v>
      </c>
      <c r="AP291" t="str">
        <f t="shared" si="60"/>
        <v>Laulurastas</v>
      </c>
      <c r="AQ291" t="str">
        <f t="shared" si="61"/>
        <v>(21.3.---12.4.---21.4., 3/21)</v>
      </c>
    </row>
    <row r="292" spans="1:43" x14ac:dyDescent="0.2">
      <c r="A292" s="1"/>
      <c r="B292" s="9">
        <f t="shared" si="62"/>
        <v>286</v>
      </c>
      <c r="C292" s="10"/>
      <c r="D292" s="9" t="s">
        <v>285</v>
      </c>
      <c r="E292" s="10"/>
      <c r="F292" s="11">
        <v>43570</v>
      </c>
      <c r="G292" s="12">
        <f>IF(AG1,DATE(2019,1,5),DATE(2019,4,8))</f>
        <v>43563</v>
      </c>
      <c r="H292" s="11">
        <v>43572</v>
      </c>
      <c r="I292" s="12">
        <f>IF(AG1,DATE(2019,1,2),DATE(2019,4,19))</f>
        <v>43574</v>
      </c>
      <c r="J292" s="11">
        <f>IF(AG1,DATE(2019,1,2),DATE(2019,4,5))</f>
        <v>43560</v>
      </c>
      <c r="K292" s="12">
        <v>43559</v>
      </c>
      <c r="L292" s="11">
        <f>IF(AG1,DATE(2019,1,8),DATE(2019,4,16))</f>
        <v>43571</v>
      </c>
      <c r="M292" s="12">
        <f>IF(AG1,DATE(2019,1,3),DATE(2019,3,24))</f>
        <v>43548</v>
      </c>
      <c r="N292" s="11">
        <v>43561</v>
      </c>
      <c r="O292" s="12">
        <f>IF(AG1,DATE(2019,1,1),DATE(2019,4,8))</f>
        <v>43563</v>
      </c>
      <c r="P292" s="11">
        <v>43563</v>
      </c>
      <c r="Q292" s="12">
        <v>43563</v>
      </c>
      <c r="R292" s="11">
        <v>43567</v>
      </c>
      <c r="S292" s="12">
        <v>43572</v>
      </c>
      <c r="T292" s="11">
        <v>43565</v>
      </c>
      <c r="U292" s="12">
        <f>IF(AG1,DATE(2019,1,1),DATE(2019,4,9))</f>
        <v>43564</v>
      </c>
      <c r="V292" s="11">
        <f>IF(AG1,DATE(2019,2,28),DATE(2019,3,29))</f>
        <v>43553</v>
      </c>
      <c r="W292" s="12">
        <f>IF(AG1,DATE(2019,1,7),DATE(2019,4,9))</f>
        <v>43564</v>
      </c>
      <c r="X292" s="11">
        <f>IF(AG1,DATE(2019,1,1),DATE(2019,4,15))</f>
        <v>43570</v>
      </c>
      <c r="Y292" s="12">
        <v>43562</v>
      </c>
      <c r="Z292" s="11">
        <f>IF(AG1,DATE(2019,1,5),DATE(2019,3,27))</f>
        <v>43551</v>
      </c>
      <c r="AA292" s="12">
        <f>IF(AG1,DATE(2019,1,2),DATE(2019,4,12))</f>
        <v>43567</v>
      </c>
      <c r="AB292" s="11">
        <v>43569</v>
      </c>
      <c r="AC292" s="12">
        <v>43565</v>
      </c>
      <c r="AD292" s="34"/>
      <c r="AE292" s="33">
        <f t="shared" si="54"/>
        <v>43548</v>
      </c>
      <c r="AF292" s="33">
        <f t="shared" si="55"/>
        <v>43564</v>
      </c>
      <c r="AG292" s="33">
        <f t="shared" si="56"/>
        <v>43574</v>
      </c>
      <c r="AH292">
        <v>362</v>
      </c>
      <c r="AK292" s="36" t="str">
        <f t="shared" si="57"/>
        <v/>
      </c>
      <c r="AL292" t="str">
        <f t="shared" si="58"/>
        <v/>
      </c>
      <c r="AM292">
        <v>11</v>
      </c>
      <c r="AN292">
        <f t="shared" si="59"/>
        <v>26</v>
      </c>
      <c r="AO292" t="str">
        <f t="shared" si="53"/>
        <v>24.3.---9.4.---19.4.</v>
      </c>
      <c r="AP292" t="str">
        <f t="shared" si="60"/>
        <v>Punakylkirastas</v>
      </c>
      <c r="AQ292" t="str">
        <f t="shared" si="61"/>
        <v>(24.3.---9.4.---19.4., 11/21)</v>
      </c>
    </row>
    <row r="293" spans="1:43" x14ac:dyDescent="0.2">
      <c r="A293" s="1"/>
      <c r="B293" s="9">
        <f t="shared" si="62"/>
        <v>287</v>
      </c>
      <c r="C293" s="10"/>
      <c r="D293" s="9" t="s">
        <v>286</v>
      </c>
      <c r="E293" s="10"/>
      <c r="F293" s="11">
        <v>43568</v>
      </c>
      <c r="G293" s="12">
        <v>43562</v>
      </c>
      <c r="H293" s="11">
        <v>43567</v>
      </c>
      <c r="I293" s="12">
        <v>43570</v>
      </c>
      <c r="J293" s="11">
        <v>43560</v>
      </c>
      <c r="K293" s="12">
        <v>43559</v>
      </c>
      <c r="L293" s="11">
        <v>43562</v>
      </c>
      <c r="M293" s="12">
        <v>43549</v>
      </c>
      <c r="N293" s="11">
        <v>43554</v>
      </c>
      <c r="O293" s="12">
        <v>43563</v>
      </c>
      <c r="P293" s="11">
        <v>43557</v>
      </c>
      <c r="Q293" s="12">
        <v>43558</v>
      </c>
      <c r="R293" s="11">
        <v>43552</v>
      </c>
      <c r="S293" s="12">
        <v>43573</v>
      </c>
      <c r="T293" s="11">
        <v>43546</v>
      </c>
      <c r="U293" s="12">
        <f>IF(AG1,DATE(2019,1,24),DATE(2019,3,18))</f>
        <v>43542</v>
      </c>
      <c r="V293" s="11">
        <v>43552</v>
      </c>
      <c r="W293" s="12">
        <v>43560</v>
      </c>
      <c r="X293" s="11">
        <v>43567</v>
      </c>
      <c r="Y293" s="12">
        <v>43551</v>
      </c>
      <c r="Z293" s="45">
        <v>43548</v>
      </c>
      <c r="AA293" s="12">
        <v>43553</v>
      </c>
      <c r="AB293" s="11">
        <v>43554</v>
      </c>
      <c r="AC293" s="12">
        <v>43562</v>
      </c>
      <c r="AD293" s="34"/>
      <c r="AE293" s="33">
        <f t="shared" si="54"/>
        <v>43542</v>
      </c>
      <c r="AF293" s="33">
        <f t="shared" si="55"/>
        <v>43558.5</v>
      </c>
      <c r="AG293" s="33">
        <f t="shared" si="56"/>
        <v>43573</v>
      </c>
      <c r="AH293">
        <v>363</v>
      </c>
      <c r="AK293" s="36" t="str">
        <f t="shared" si="57"/>
        <v/>
      </c>
      <c r="AL293" t="str">
        <f t="shared" si="58"/>
        <v/>
      </c>
      <c r="AM293">
        <v>1</v>
      </c>
      <c r="AN293">
        <f t="shared" si="59"/>
        <v>31</v>
      </c>
      <c r="AO293" t="str">
        <f t="shared" si="53"/>
        <v>18.3.---3.4.---18.4.</v>
      </c>
      <c r="AP293" t="str">
        <f t="shared" si="60"/>
        <v>Kulorastas</v>
      </c>
      <c r="AQ293" t="str">
        <f t="shared" si="61"/>
        <v>(18.3.---3.4.---18.4., 1/21)</v>
      </c>
    </row>
    <row r="294" spans="1:43" x14ac:dyDescent="0.2">
      <c r="A294" s="1"/>
      <c r="B294" s="9">
        <f t="shared" si="62"/>
        <v>288</v>
      </c>
      <c r="C294" s="10"/>
      <c r="D294" s="15" t="s">
        <v>287</v>
      </c>
      <c r="E294" s="14"/>
      <c r="F294" s="11"/>
      <c r="G294" s="12"/>
      <c r="H294" s="11"/>
      <c r="I294" s="12"/>
      <c r="J294" s="11"/>
      <c r="K294" s="12"/>
      <c r="L294" s="11"/>
      <c r="M294" s="12"/>
      <c r="N294" s="11"/>
      <c r="O294" s="12"/>
      <c r="P294" s="11"/>
      <c r="Q294" s="12"/>
      <c r="R294" s="11"/>
      <c r="S294" s="12">
        <v>43714</v>
      </c>
      <c r="T294" s="11"/>
      <c r="U294" s="12"/>
      <c r="V294" s="11"/>
      <c r="W294" s="12"/>
      <c r="X294" s="11"/>
      <c r="Y294" s="12"/>
      <c r="Z294" s="11"/>
      <c r="AA294" s="12"/>
      <c r="AB294" s="11"/>
      <c r="AC294" s="12" t="s">
        <v>393</v>
      </c>
      <c r="AD294" s="34"/>
      <c r="AE294" s="33">
        <f t="shared" si="54"/>
        <v>43714</v>
      </c>
      <c r="AF294" s="33">
        <f t="shared" si="55"/>
        <v>43714</v>
      </c>
      <c r="AG294" s="33">
        <f t="shared" si="56"/>
        <v>43714</v>
      </c>
      <c r="AH294">
        <v>364</v>
      </c>
      <c r="AK294" s="36" t="str">
        <f t="shared" si="57"/>
        <v/>
      </c>
      <c r="AL294" t="str">
        <f t="shared" si="58"/>
        <v/>
      </c>
      <c r="AM294" t="s">
        <v>393</v>
      </c>
      <c r="AN294">
        <f t="shared" si="59"/>
        <v>0</v>
      </c>
      <c r="AO294" t="str">
        <f t="shared" si="53"/>
        <v>6.9.---6.9.---6.9.</v>
      </c>
      <c r="AP294" t="str">
        <f t="shared" si="60"/>
        <v>Sarasirkkalintu</v>
      </c>
      <c r="AQ294" t="str">
        <f t="shared" si="61"/>
        <v>(6.9.---6.9.---6.9.)</v>
      </c>
    </row>
    <row r="295" spans="1:43" x14ac:dyDescent="0.2">
      <c r="A295" s="1"/>
      <c r="B295" s="9">
        <f t="shared" si="62"/>
        <v>289</v>
      </c>
      <c r="C295" s="10"/>
      <c r="D295" s="13" t="s">
        <v>288</v>
      </c>
      <c r="E295" s="14"/>
      <c r="F295" s="11"/>
      <c r="G295" s="12"/>
      <c r="H295" s="11"/>
      <c r="I295" s="12">
        <v>43650</v>
      </c>
      <c r="J295" s="11">
        <v>43663</v>
      </c>
      <c r="K295" s="12"/>
      <c r="L295" s="11"/>
      <c r="M295" s="12"/>
      <c r="N295" s="11"/>
      <c r="O295" s="12"/>
      <c r="P295" s="11"/>
      <c r="Q295" s="12"/>
      <c r="R295" s="11">
        <v>43648</v>
      </c>
      <c r="S295" s="12"/>
      <c r="T295" s="11"/>
      <c r="U295" s="12">
        <v>43647</v>
      </c>
      <c r="V295" s="11"/>
      <c r="W295" s="12"/>
      <c r="X295" s="11"/>
      <c r="Y295" s="12"/>
      <c r="Z295" s="11">
        <v>43661</v>
      </c>
      <c r="AA295" s="12"/>
      <c r="AB295" s="11"/>
      <c r="AC295" s="12">
        <v>43659</v>
      </c>
      <c r="AD295" s="34"/>
      <c r="AE295" s="33">
        <f t="shared" si="54"/>
        <v>43647</v>
      </c>
      <c r="AF295" s="33">
        <f t="shared" si="55"/>
        <v>43654.5</v>
      </c>
      <c r="AG295" s="33">
        <f t="shared" si="56"/>
        <v>43663</v>
      </c>
      <c r="AH295">
        <v>365</v>
      </c>
      <c r="AK295" s="36" t="str">
        <f t="shared" si="57"/>
        <v/>
      </c>
      <c r="AL295" t="str">
        <f t="shared" si="58"/>
        <v/>
      </c>
      <c r="AM295" t="s">
        <v>393</v>
      </c>
      <c r="AN295">
        <f t="shared" si="59"/>
        <v>16</v>
      </c>
      <c r="AO295" t="str">
        <f t="shared" si="53"/>
        <v>1.7.---8.7.---17.7.</v>
      </c>
      <c r="AP295" t="str">
        <f t="shared" si="60"/>
        <v>Viirusirkkalintu</v>
      </c>
      <c r="AQ295" t="str">
        <f t="shared" si="61"/>
        <v>(1.7.---8.7.---17.7.)</v>
      </c>
    </row>
    <row r="296" spans="1:43" x14ac:dyDescent="0.2">
      <c r="A296" s="1"/>
      <c r="B296" s="9">
        <f t="shared" si="62"/>
        <v>290</v>
      </c>
      <c r="C296" s="10"/>
      <c r="D296" s="9" t="s">
        <v>289</v>
      </c>
      <c r="E296" s="10"/>
      <c r="F296" s="11">
        <v>43609</v>
      </c>
      <c r="G296" s="12">
        <v>43612</v>
      </c>
      <c r="H296" s="11">
        <v>43612</v>
      </c>
      <c r="I296" s="12">
        <v>43607</v>
      </c>
      <c r="J296" s="11">
        <v>43617</v>
      </c>
      <c r="K296" s="12">
        <v>43611</v>
      </c>
      <c r="L296" s="11">
        <v>43613</v>
      </c>
      <c r="M296" s="12">
        <v>43610</v>
      </c>
      <c r="N296" s="11">
        <v>43622</v>
      </c>
      <c r="O296" s="12">
        <v>43601</v>
      </c>
      <c r="P296" s="11">
        <v>43615</v>
      </c>
      <c r="Q296" s="12">
        <v>43606</v>
      </c>
      <c r="R296" s="11">
        <v>43611</v>
      </c>
      <c r="S296" s="12">
        <v>43607</v>
      </c>
      <c r="T296" s="11">
        <v>43610</v>
      </c>
      <c r="U296" s="12">
        <v>43604</v>
      </c>
      <c r="V296" s="11">
        <v>43613</v>
      </c>
      <c r="W296" s="12">
        <v>43627</v>
      </c>
      <c r="X296" s="11">
        <v>43616</v>
      </c>
      <c r="Y296" s="12">
        <v>43610</v>
      </c>
      <c r="Z296" s="11">
        <v>43612</v>
      </c>
      <c r="AA296" s="12">
        <v>43621</v>
      </c>
      <c r="AB296" s="11">
        <v>43614</v>
      </c>
      <c r="AC296" s="12">
        <v>43601</v>
      </c>
      <c r="AD296" s="34"/>
      <c r="AE296" s="33">
        <f t="shared" si="54"/>
        <v>43601</v>
      </c>
      <c r="AF296" s="33">
        <f t="shared" si="55"/>
        <v>43611.5</v>
      </c>
      <c r="AG296" s="33">
        <f t="shared" si="56"/>
        <v>43627</v>
      </c>
      <c r="AH296">
        <v>366</v>
      </c>
      <c r="AK296" s="36" t="str">
        <f t="shared" si="57"/>
        <v/>
      </c>
      <c r="AL296" t="str">
        <f t="shared" si="58"/>
        <v/>
      </c>
      <c r="AM296" t="s">
        <v>393</v>
      </c>
      <c r="AN296">
        <f t="shared" si="59"/>
        <v>26</v>
      </c>
      <c r="AO296" t="str">
        <f t="shared" si="53"/>
        <v>16.5.---26.5.---11.6.</v>
      </c>
      <c r="AP296" t="str">
        <f t="shared" si="60"/>
        <v>Pensassirkkalintu</v>
      </c>
      <c r="AQ296" t="str">
        <f t="shared" si="61"/>
        <v>(16.5.---26.5.---11.6.)</v>
      </c>
    </row>
    <row r="297" spans="1:43" x14ac:dyDescent="0.2">
      <c r="A297" s="1"/>
      <c r="B297" s="9">
        <f t="shared" si="62"/>
        <v>291</v>
      </c>
      <c r="C297" s="10"/>
      <c r="D297" s="13" t="s">
        <v>290</v>
      </c>
      <c r="E297" s="14"/>
      <c r="F297" s="11"/>
      <c r="G297" s="12"/>
      <c r="H297" s="11"/>
      <c r="I297" s="12"/>
      <c r="J297" s="11"/>
      <c r="K297" s="12">
        <v>43627</v>
      </c>
      <c r="L297" s="11"/>
      <c r="M297" s="12">
        <v>43608</v>
      </c>
      <c r="N297" s="11">
        <v>43651</v>
      </c>
      <c r="O297" s="12"/>
      <c r="P297" s="11">
        <v>43614</v>
      </c>
      <c r="Q297" s="12"/>
      <c r="R297" s="11"/>
      <c r="S297" s="12">
        <v>43611</v>
      </c>
      <c r="T297" s="11">
        <v>43609</v>
      </c>
      <c r="U297" s="12">
        <v>43621</v>
      </c>
      <c r="V297" s="11">
        <v>43628</v>
      </c>
      <c r="W297" s="12"/>
      <c r="X297" s="11">
        <v>43614</v>
      </c>
      <c r="Y297" s="12"/>
      <c r="Z297" s="11">
        <v>43664</v>
      </c>
      <c r="AA297" s="12">
        <v>43638</v>
      </c>
      <c r="AB297" s="11">
        <v>43664</v>
      </c>
      <c r="AC297" s="12">
        <v>43608</v>
      </c>
      <c r="AD297" s="34"/>
      <c r="AE297" s="33">
        <f t="shared" si="54"/>
        <v>43608</v>
      </c>
      <c r="AF297" s="33">
        <f t="shared" si="55"/>
        <v>43621</v>
      </c>
      <c r="AG297" s="33">
        <f t="shared" si="56"/>
        <v>43664</v>
      </c>
      <c r="AH297">
        <v>367</v>
      </c>
      <c r="AK297" s="36" t="str">
        <f t="shared" si="57"/>
        <v/>
      </c>
      <c r="AL297" t="str">
        <f t="shared" si="58"/>
        <v/>
      </c>
      <c r="AM297" t="s">
        <v>393</v>
      </c>
      <c r="AN297">
        <f t="shared" si="59"/>
        <v>56</v>
      </c>
      <c r="AO297" t="str">
        <f t="shared" si="53"/>
        <v>23.5.---5.6.---18.7.</v>
      </c>
      <c r="AP297" t="str">
        <f t="shared" si="60"/>
        <v>Viitasirkkalintu</v>
      </c>
      <c r="AQ297" t="str">
        <f t="shared" si="61"/>
        <v>(23.5.---5.6.---18.7.)</v>
      </c>
    </row>
    <row r="298" spans="1:43" x14ac:dyDescent="0.2">
      <c r="A298" s="1"/>
      <c r="B298" s="9">
        <f t="shared" si="62"/>
        <v>292</v>
      </c>
      <c r="C298" s="10"/>
      <c r="D298" s="13" t="s">
        <v>291</v>
      </c>
      <c r="E298" s="14"/>
      <c r="F298" s="11"/>
      <c r="G298" s="12"/>
      <c r="H298" s="11"/>
      <c r="I298" s="12"/>
      <c r="J298" s="11"/>
      <c r="K298" s="12"/>
      <c r="L298" s="11"/>
      <c r="M298" s="12"/>
      <c r="N298" s="11">
        <v>43614</v>
      </c>
      <c r="O298" s="12"/>
      <c r="P298" s="11"/>
      <c r="Q298" s="12"/>
      <c r="R298" s="11"/>
      <c r="S298" s="12"/>
      <c r="T298" s="11"/>
      <c r="U298" s="12"/>
      <c r="V298" s="11"/>
      <c r="W298" s="12">
        <v>43633</v>
      </c>
      <c r="X298" s="11"/>
      <c r="Y298" s="12"/>
      <c r="Z298" s="11"/>
      <c r="AA298" s="12">
        <v>43625</v>
      </c>
      <c r="AB298" s="11">
        <v>43625</v>
      </c>
      <c r="AC298" s="12" t="s">
        <v>393</v>
      </c>
      <c r="AD298" s="34"/>
      <c r="AE298" s="33">
        <f t="shared" si="54"/>
        <v>43614</v>
      </c>
      <c r="AF298" s="33">
        <f t="shared" si="55"/>
        <v>43625</v>
      </c>
      <c r="AG298" s="33">
        <f t="shared" si="56"/>
        <v>43633</v>
      </c>
      <c r="AH298">
        <v>368</v>
      </c>
      <c r="AK298" s="36" t="str">
        <f t="shared" si="57"/>
        <v/>
      </c>
      <c r="AL298" t="str">
        <f t="shared" si="58"/>
        <v/>
      </c>
      <c r="AM298" t="s">
        <v>393</v>
      </c>
      <c r="AN298">
        <f t="shared" si="59"/>
        <v>19</v>
      </c>
      <c r="AO298" t="str">
        <f t="shared" si="53"/>
        <v>29.5.---9.6.---17.6.</v>
      </c>
      <c r="AP298" t="str">
        <f t="shared" si="60"/>
        <v>Ruokosirkkalintu</v>
      </c>
      <c r="AQ298" t="str">
        <f t="shared" si="61"/>
        <v>(29.5.---9.6.---17.6.)</v>
      </c>
    </row>
    <row r="299" spans="1:43" x14ac:dyDescent="0.2">
      <c r="A299" s="1"/>
      <c r="B299" s="9">
        <f t="shared" si="62"/>
        <v>293</v>
      </c>
      <c r="C299" s="10"/>
      <c r="D299" s="13" t="s">
        <v>292</v>
      </c>
      <c r="E299" s="14"/>
      <c r="F299" s="11"/>
      <c r="G299" s="12"/>
      <c r="H299" s="11"/>
      <c r="I299" s="12"/>
      <c r="J299" s="11">
        <v>43631</v>
      </c>
      <c r="K299" s="12">
        <v>43622</v>
      </c>
      <c r="L299" s="11"/>
      <c r="M299" s="12"/>
      <c r="N299" s="11"/>
      <c r="O299" s="12"/>
      <c r="P299" s="11"/>
      <c r="Q299" s="12"/>
      <c r="R299" s="11"/>
      <c r="S299" s="12">
        <v>43612</v>
      </c>
      <c r="T299" s="11"/>
      <c r="U299" s="12"/>
      <c r="V299" s="11">
        <v>43619</v>
      </c>
      <c r="W299" s="12"/>
      <c r="X299" s="11">
        <v>43648</v>
      </c>
      <c r="Y299" s="12">
        <v>43609</v>
      </c>
      <c r="Z299" s="11"/>
      <c r="AA299" s="12"/>
      <c r="AB299" s="11"/>
      <c r="AC299" s="12" t="s">
        <v>393</v>
      </c>
      <c r="AD299" s="34"/>
      <c r="AE299" s="33">
        <f t="shared" si="54"/>
        <v>43609</v>
      </c>
      <c r="AF299" s="33">
        <f t="shared" si="55"/>
        <v>43620.5</v>
      </c>
      <c r="AG299" s="33">
        <f t="shared" si="56"/>
        <v>43648</v>
      </c>
      <c r="AH299">
        <v>370</v>
      </c>
      <c r="AK299" s="36" t="str">
        <f t="shared" si="57"/>
        <v/>
      </c>
      <c r="AL299" t="str">
        <f t="shared" si="58"/>
        <v/>
      </c>
      <c r="AM299" t="s">
        <v>393</v>
      </c>
      <c r="AN299">
        <f t="shared" si="59"/>
        <v>39</v>
      </c>
      <c r="AO299" t="str">
        <f t="shared" si="53"/>
        <v>24.5.---4.6.---2.7.</v>
      </c>
      <c r="AP299" t="str">
        <f t="shared" si="60"/>
        <v>Pikkukultarinta</v>
      </c>
      <c r="AQ299" t="str">
        <f t="shared" si="61"/>
        <v>(24.5.---4.6.---2.7.)</v>
      </c>
    </row>
    <row r="300" spans="1:43" x14ac:dyDescent="0.2">
      <c r="A300" s="1"/>
      <c r="B300" s="9">
        <f t="shared" si="62"/>
        <v>294</v>
      </c>
      <c r="C300" s="10"/>
      <c r="D300" s="9" t="s">
        <v>293</v>
      </c>
      <c r="E300" s="10"/>
      <c r="F300" s="11">
        <v>43608</v>
      </c>
      <c r="G300" s="12"/>
      <c r="H300" s="11">
        <v>43610</v>
      </c>
      <c r="I300" s="12">
        <v>43609</v>
      </c>
      <c r="J300" s="11">
        <v>43619</v>
      </c>
      <c r="K300" s="12">
        <v>43612</v>
      </c>
      <c r="L300" s="11">
        <v>43620</v>
      </c>
      <c r="M300" s="12">
        <v>43607</v>
      </c>
      <c r="N300" s="11">
        <v>43633</v>
      </c>
      <c r="O300" s="12">
        <v>43608</v>
      </c>
      <c r="P300" s="11">
        <v>43612</v>
      </c>
      <c r="Q300" s="12">
        <v>43614</v>
      </c>
      <c r="R300" s="11">
        <v>43602</v>
      </c>
      <c r="S300" s="12">
        <v>43611</v>
      </c>
      <c r="T300" s="11">
        <v>43617</v>
      </c>
      <c r="U300" s="12">
        <v>43612</v>
      </c>
      <c r="V300" s="11">
        <v>43606</v>
      </c>
      <c r="W300" s="12">
        <v>43626</v>
      </c>
      <c r="X300" s="11">
        <v>43612</v>
      </c>
      <c r="Y300" s="12">
        <v>43618</v>
      </c>
      <c r="Z300" s="11">
        <v>43613</v>
      </c>
      <c r="AA300" s="12">
        <v>43615</v>
      </c>
      <c r="AB300" s="11">
        <v>43609</v>
      </c>
      <c r="AC300" s="12">
        <v>43615</v>
      </c>
      <c r="AD300" s="34"/>
      <c r="AE300" s="33">
        <f t="shared" si="54"/>
        <v>43602</v>
      </c>
      <c r="AF300" s="33">
        <f t="shared" si="55"/>
        <v>43612</v>
      </c>
      <c r="AG300" s="33">
        <f t="shared" si="56"/>
        <v>43633</v>
      </c>
      <c r="AH300">
        <v>373</v>
      </c>
      <c r="AK300" s="36" t="str">
        <f t="shared" si="57"/>
        <v/>
      </c>
      <c r="AL300" t="str">
        <f t="shared" si="58"/>
        <v/>
      </c>
      <c r="AM300" t="s">
        <v>393</v>
      </c>
      <c r="AN300">
        <f t="shared" si="59"/>
        <v>31</v>
      </c>
      <c r="AO300" t="str">
        <f t="shared" si="53"/>
        <v>17.5.---27.5.---17.6.</v>
      </c>
      <c r="AP300" t="str">
        <f t="shared" si="60"/>
        <v>Kultarinta</v>
      </c>
      <c r="AQ300" t="str">
        <f t="shared" si="61"/>
        <v>(17.5.---27.5.---17.6.)</v>
      </c>
    </row>
    <row r="301" spans="1:43" x14ac:dyDescent="0.2">
      <c r="A301" s="1"/>
      <c r="B301" s="9">
        <f t="shared" si="62"/>
        <v>295</v>
      </c>
      <c r="C301" s="10"/>
      <c r="D301" s="9" t="s">
        <v>294</v>
      </c>
      <c r="E301" s="10"/>
      <c r="F301" s="11">
        <v>43602</v>
      </c>
      <c r="G301" s="12">
        <v>43593</v>
      </c>
      <c r="H301" s="11">
        <v>43590</v>
      </c>
      <c r="I301" s="12">
        <v>43598</v>
      </c>
      <c r="J301" s="11">
        <v>43591</v>
      </c>
      <c r="K301" s="12">
        <v>43601</v>
      </c>
      <c r="L301" s="11">
        <v>43591</v>
      </c>
      <c r="M301" s="12">
        <v>43600</v>
      </c>
      <c r="N301" s="11">
        <v>43590</v>
      </c>
      <c r="O301" s="12">
        <v>43602</v>
      </c>
      <c r="P301" s="11">
        <v>43597</v>
      </c>
      <c r="Q301" s="12">
        <v>43596</v>
      </c>
      <c r="R301" s="11">
        <v>43600</v>
      </c>
      <c r="S301" s="12">
        <v>43598</v>
      </c>
      <c r="T301" s="11">
        <v>43600</v>
      </c>
      <c r="U301" s="12">
        <v>43595</v>
      </c>
      <c r="V301" s="11">
        <v>43598</v>
      </c>
      <c r="W301" s="12">
        <v>43606</v>
      </c>
      <c r="X301" s="11">
        <v>43595</v>
      </c>
      <c r="Y301" s="12">
        <v>43596</v>
      </c>
      <c r="Z301" s="11">
        <v>43590</v>
      </c>
      <c r="AA301" s="12">
        <v>43598</v>
      </c>
      <c r="AB301" s="11">
        <v>43599</v>
      </c>
      <c r="AC301" s="12">
        <v>43598</v>
      </c>
      <c r="AD301" s="34"/>
      <c r="AE301" s="33">
        <f t="shared" si="54"/>
        <v>43590</v>
      </c>
      <c r="AF301" s="33">
        <f t="shared" si="55"/>
        <v>43598</v>
      </c>
      <c r="AG301" s="33">
        <f t="shared" si="56"/>
        <v>43606</v>
      </c>
      <c r="AH301">
        <v>375</v>
      </c>
      <c r="AK301" s="36" t="str">
        <f t="shared" si="57"/>
        <v/>
      </c>
      <c r="AL301" t="str">
        <f t="shared" si="58"/>
        <v/>
      </c>
      <c r="AM301" t="s">
        <v>393</v>
      </c>
      <c r="AN301">
        <f t="shared" si="59"/>
        <v>16</v>
      </c>
      <c r="AO301" t="str">
        <f t="shared" si="53"/>
        <v>5.5.---13.5.---21.5.</v>
      </c>
      <c r="AP301" t="str">
        <f t="shared" si="60"/>
        <v>Ruokokerttunen</v>
      </c>
      <c r="AQ301" t="str">
        <f t="shared" si="61"/>
        <v>(5.5.---13.5.---21.5.)</v>
      </c>
    </row>
    <row r="302" spans="1:43" x14ac:dyDescent="0.2">
      <c r="A302" s="1"/>
      <c r="B302" s="9">
        <f t="shared" si="62"/>
        <v>296</v>
      </c>
      <c r="C302" s="10"/>
      <c r="D302" s="15" t="s">
        <v>388</v>
      </c>
      <c r="E302" s="10"/>
      <c r="F302" s="11"/>
      <c r="G302" s="12"/>
      <c r="H302" s="11"/>
      <c r="I302" s="12"/>
      <c r="J302" s="11"/>
      <c r="K302" s="12"/>
      <c r="L302" s="11"/>
      <c r="M302" s="12"/>
      <c r="N302" s="11"/>
      <c r="O302" s="12"/>
      <c r="P302" s="11"/>
      <c r="Q302" s="12"/>
      <c r="R302" s="11"/>
      <c r="S302" s="12"/>
      <c r="T302" s="11"/>
      <c r="U302" s="12"/>
      <c r="V302" s="11"/>
      <c r="W302" s="12"/>
      <c r="X302" s="11"/>
      <c r="Y302" s="12"/>
      <c r="Z302" s="11"/>
      <c r="AA302" s="12">
        <v>43616</v>
      </c>
      <c r="AB302" s="11"/>
      <c r="AC302" s="12">
        <v>43659</v>
      </c>
      <c r="AD302" s="34"/>
      <c r="AE302" s="33">
        <f t="shared" si="54"/>
        <v>43616</v>
      </c>
      <c r="AF302" s="33">
        <f t="shared" si="55"/>
        <v>43637.5</v>
      </c>
      <c r="AG302" s="33">
        <f t="shared" si="56"/>
        <v>43659</v>
      </c>
      <c r="AH302">
        <v>376</v>
      </c>
      <c r="AK302" s="36" t="str">
        <f t="shared" si="57"/>
        <v/>
      </c>
      <c r="AL302" t="str">
        <f t="shared" si="58"/>
        <v/>
      </c>
      <c r="AM302" t="s">
        <v>393</v>
      </c>
      <c r="AN302">
        <f t="shared" si="59"/>
        <v>43</v>
      </c>
      <c r="AO302" t="str">
        <f t="shared" si="53"/>
        <v>31.5.---21.6.---13.7.</v>
      </c>
      <c r="AP302" t="str">
        <f t="shared" si="60"/>
        <v>Kenttäkerttunen</v>
      </c>
      <c r="AQ302" t="str">
        <f t="shared" si="61"/>
        <v>(31.5.---21.6.---13.7.)</v>
      </c>
    </row>
    <row r="303" spans="1:43" x14ac:dyDescent="0.2">
      <c r="A303" s="1"/>
      <c r="B303" s="9">
        <f t="shared" si="62"/>
        <v>297</v>
      </c>
      <c r="C303" s="10"/>
      <c r="D303" s="9" t="s">
        <v>295</v>
      </c>
      <c r="E303" s="10"/>
      <c r="F303" s="11">
        <v>43617</v>
      </c>
      <c r="G303" s="12">
        <v>43625</v>
      </c>
      <c r="H303" s="11">
        <v>43628</v>
      </c>
      <c r="I303" s="12">
        <v>43609</v>
      </c>
      <c r="J303" s="11">
        <v>43612</v>
      </c>
      <c r="K303" s="12">
        <v>43611</v>
      </c>
      <c r="L303" s="11">
        <v>43610</v>
      </c>
      <c r="M303" s="12">
        <v>43611</v>
      </c>
      <c r="N303" s="11">
        <v>43619</v>
      </c>
      <c r="O303" s="12">
        <v>43626</v>
      </c>
      <c r="P303" s="11">
        <v>43605</v>
      </c>
      <c r="Q303" s="12">
        <v>43613</v>
      </c>
      <c r="R303" s="11">
        <v>43608</v>
      </c>
      <c r="S303" s="12">
        <v>43609</v>
      </c>
      <c r="T303" s="11">
        <v>43606</v>
      </c>
      <c r="U303" s="12">
        <v>43617</v>
      </c>
      <c r="V303" s="11">
        <v>43597</v>
      </c>
      <c r="W303" s="12">
        <v>43622</v>
      </c>
      <c r="X303" s="11">
        <v>43611</v>
      </c>
      <c r="Y303" s="12">
        <v>43603</v>
      </c>
      <c r="Z303" s="11">
        <v>43609</v>
      </c>
      <c r="AA303" s="12">
        <v>43610</v>
      </c>
      <c r="AB303" s="11">
        <v>43609</v>
      </c>
      <c r="AC303" s="12">
        <v>43606</v>
      </c>
      <c r="AD303" s="34"/>
      <c r="AE303" s="33">
        <f t="shared" si="54"/>
        <v>43597</v>
      </c>
      <c r="AF303" s="33">
        <f t="shared" si="55"/>
        <v>43610.5</v>
      </c>
      <c r="AG303" s="33">
        <f t="shared" si="56"/>
        <v>43628</v>
      </c>
      <c r="AH303">
        <v>377</v>
      </c>
      <c r="AK303" s="36" t="str">
        <f t="shared" si="57"/>
        <v/>
      </c>
      <c r="AL303" t="str">
        <f t="shared" si="58"/>
        <v/>
      </c>
      <c r="AM303" t="s">
        <v>393</v>
      </c>
      <c r="AN303">
        <f t="shared" si="59"/>
        <v>31</v>
      </c>
      <c r="AO303" t="str">
        <f t="shared" si="53"/>
        <v>12.5.---25.5.---12.6.</v>
      </c>
      <c r="AP303" t="str">
        <f t="shared" si="60"/>
        <v>Viitakerttunen</v>
      </c>
      <c r="AQ303" t="str">
        <f t="shared" si="61"/>
        <v>(12.5.---25.5.---12.6.)</v>
      </c>
    </row>
    <row r="304" spans="1:43" x14ac:dyDescent="0.2">
      <c r="A304" s="1"/>
      <c r="B304" s="9">
        <f t="shared" si="62"/>
        <v>298</v>
      </c>
      <c r="C304" s="10"/>
      <c r="D304" s="9" t="s">
        <v>296</v>
      </c>
      <c r="E304" s="10"/>
      <c r="F304" s="11"/>
      <c r="G304" s="12"/>
      <c r="H304" s="11"/>
      <c r="I304" s="12">
        <v>43628</v>
      </c>
      <c r="J304" s="11">
        <v>43629</v>
      </c>
      <c r="K304" s="12">
        <v>43625</v>
      </c>
      <c r="L304" s="11"/>
      <c r="M304" s="12">
        <v>43619</v>
      </c>
      <c r="N304" s="11">
        <v>43648</v>
      </c>
      <c r="O304" s="12"/>
      <c r="P304" s="11">
        <v>43610</v>
      </c>
      <c r="Q304" s="12">
        <v>43614</v>
      </c>
      <c r="R304" s="11">
        <v>43631</v>
      </c>
      <c r="S304" s="12">
        <v>43618</v>
      </c>
      <c r="T304" s="11">
        <v>43608</v>
      </c>
      <c r="U304" s="12">
        <v>43618</v>
      </c>
      <c r="V304" s="11">
        <v>43614</v>
      </c>
      <c r="W304" s="12"/>
      <c r="X304" s="11">
        <v>43606</v>
      </c>
      <c r="Y304" s="12">
        <v>43618</v>
      </c>
      <c r="Z304" s="11">
        <v>43609</v>
      </c>
      <c r="AA304" s="12">
        <v>43612</v>
      </c>
      <c r="AB304" s="11">
        <v>43629</v>
      </c>
      <c r="AC304" s="12" t="s">
        <v>393</v>
      </c>
      <c r="AD304" s="34"/>
      <c r="AE304" s="33">
        <f t="shared" si="54"/>
        <v>43606</v>
      </c>
      <c r="AF304" s="33">
        <f t="shared" si="55"/>
        <v>43618</v>
      </c>
      <c r="AG304" s="33">
        <f t="shared" si="56"/>
        <v>43648</v>
      </c>
      <c r="AH304">
        <v>378</v>
      </c>
      <c r="AK304" s="36" t="str">
        <f t="shared" si="57"/>
        <v/>
      </c>
      <c r="AL304" t="str">
        <f t="shared" si="58"/>
        <v/>
      </c>
      <c r="AM304" t="s">
        <v>393</v>
      </c>
      <c r="AN304">
        <f t="shared" si="59"/>
        <v>42</v>
      </c>
      <c r="AO304" t="str">
        <f t="shared" si="53"/>
        <v>21.5.---2.6.---2.7.</v>
      </c>
      <c r="AP304" t="str">
        <f t="shared" si="60"/>
        <v>Luhtakerttunen</v>
      </c>
      <c r="AQ304" t="str">
        <f t="shared" si="61"/>
        <v>(21.5.---2.6.---2.7.)</v>
      </c>
    </row>
    <row r="305" spans="1:43" x14ac:dyDescent="0.2">
      <c r="A305" s="1"/>
      <c r="B305" s="9">
        <f t="shared" si="62"/>
        <v>299</v>
      </c>
      <c r="C305" s="10"/>
      <c r="D305" s="9" t="s">
        <v>297</v>
      </c>
      <c r="E305" s="10"/>
      <c r="F305" s="11"/>
      <c r="G305" s="12"/>
      <c r="H305" s="11"/>
      <c r="I305" s="12">
        <v>43609</v>
      </c>
      <c r="J305" s="11">
        <v>43696</v>
      </c>
      <c r="K305" s="12">
        <v>43633</v>
      </c>
      <c r="L305" s="11"/>
      <c r="M305" s="12">
        <v>43638</v>
      </c>
      <c r="N305" s="11"/>
      <c r="O305" s="12">
        <v>43618</v>
      </c>
      <c r="P305" s="11">
        <v>43614</v>
      </c>
      <c r="Q305" s="12">
        <v>43617</v>
      </c>
      <c r="R305" s="11"/>
      <c r="S305" s="12">
        <v>43654</v>
      </c>
      <c r="T305" s="11">
        <v>43611</v>
      </c>
      <c r="U305" s="12">
        <v>43638</v>
      </c>
      <c r="V305" s="11">
        <v>43614</v>
      </c>
      <c r="W305" s="12">
        <v>43682</v>
      </c>
      <c r="X305" s="11">
        <v>43609</v>
      </c>
      <c r="Y305" s="12">
        <v>43598</v>
      </c>
      <c r="Z305" s="11">
        <v>43629</v>
      </c>
      <c r="AA305" s="12">
        <v>43601</v>
      </c>
      <c r="AB305" s="11"/>
      <c r="AC305" s="12">
        <v>43609</v>
      </c>
      <c r="AD305" s="34"/>
      <c r="AE305" s="33">
        <f t="shared" si="54"/>
        <v>43598</v>
      </c>
      <c r="AF305" s="33">
        <f t="shared" si="55"/>
        <v>43617</v>
      </c>
      <c r="AG305" s="33">
        <f t="shared" si="56"/>
        <v>43696</v>
      </c>
      <c r="AH305">
        <v>379</v>
      </c>
      <c r="AK305" s="36" t="str">
        <f t="shared" si="57"/>
        <v/>
      </c>
      <c r="AL305" t="str">
        <f t="shared" si="58"/>
        <v/>
      </c>
      <c r="AM305" t="s">
        <v>393</v>
      </c>
      <c r="AN305">
        <f t="shared" si="59"/>
        <v>98</v>
      </c>
      <c r="AO305" t="str">
        <f t="shared" si="53"/>
        <v>13.5.---1.6.---19.8.</v>
      </c>
      <c r="AP305" t="str">
        <f t="shared" si="60"/>
        <v>Rytikerttunen</v>
      </c>
      <c r="AQ305" t="str">
        <f t="shared" si="61"/>
        <v>(13.5.---1.6.---19.8.)</v>
      </c>
    </row>
    <row r="306" spans="1:43" x14ac:dyDescent="0.2">
      <c r="A306" s="1"/>
      <c r="B306" s="9">
        <f t="shared" si="62"/>
        <v>300</v>
      </c>
      <c r="C306" s="10"/>
      <c r="D306" s="13" t="s">
        <v>298</v>
      </c>
      <c r="E306" s="14"/>
      <c r="F306" s="11"/>
      <c r="G306" s="12"/>
      <c r="H306" s="11"/>
      <c r="I306" s="12">
        <v>43623</v>
      </c>
      <c r="J306" s="11"/>
      <c r="K306" s="12"/>
      <c r="L306" s="11">
        <v>43630</v>
      </c>
      <c r="M306" s="12">
        <v>43618</v>
      </c>
      <c r="N306" s="11"/>
      <c r="O306" s="12"/>
      <c r="P306" s="11"/>
      <c r="Q306" s="12"/>
      <c r="R306" s="11"/>
      <c r="S306" s="12"/>
      <c r="T306" s="11"/>
      <c r="U306" s="12"/>
      <c r="V306" s="11"/>
      <c r="W306" s="12"/>
      <c r="X306" s="11"/>
      <c r="Y306" s="12"/>
      <c r="Z306" s="11"/>
      <c r="AA306" s="12">
        <v>43614</v>
      </c>
      <c r="AB306" s="11"/>
      <c r="AC306" s="12">
        <v>43645</v>
      </c>
      <c r="AD306" s="34"/>
      <c r="AE306" s="33">
        <f t="shared" si="54"/>
        <v>43614</v>
      </c>
      <c r="AF306" s="33">
        <f t="shared" si="55"/>
        <v>43623</v>
      </c>
      <c r="AG306" s="33">
        <f t="shared" si="56"/>
        <v>43645</v>
      </c>
      <c r="AH306">
        <v>380</v>
      </c>
      <c r="AK306" s="36" t="str">
        <f t="shared" si="57"/>
        <v/>
      </c>
      <c r="AL306" t="str">
        <f t="shared" si="58"/>
        <v/>
      </c>
      <c r="AM306" t="s">
        <v>393</v>
      </c>
      <c r="AN306">
        <f t="shared" si="59"/>
        <v>31</v>
      </c>
      <c r="AO306" t="str">
        <f t="shared" si="53"/>
        <v>29.5.---7.6.---29.6.</v>
      </c>
      <c r="AP306" t="str">
        <f t="shared" si="60"/>
        <v>Rastaskerttunen</v>
      </c>
      <c r="AQ306" t="str">
        <f t="shared" si="61"/>
        <v>(29.5.---7.6.---29.6.)</v>
      </c>
    </row>
    <row r="307" spans="1:43" x14ac:dyDescent="0.2">
      <c r="A307" s="1"/>
      <c r="B307" s="9">
        <f t="shared" si="62"/>
        <v>301</v>
      </c>
      <c r="C307" s="10"/>
      <c r="D307" s="15" t="s">
        <v>299</v>
      </c>
      <c r="E307" s="10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R307" s="11"/>
      <c r="S307" s="12"/>
      <c r="T307" s="11"/>
      <c r="U307" s="12"/>
      <c r="V307" s="11"/>
      <c r="W307" s="12"/>
      <c r="X307" s="11"/>
      <c r="Y307" s="12"/>
      <c r="Z307" s="11"/>
      <c r="AA307" s="12"/>
      <c r="AB307" s="11"/>
      <c r="AC307" s="12" t="s">
        <v>393</v>
      </c>
      <c r="AD307" s="34"/>
      <c r="AE307" s="33" t="str">
        <f t="shared" si="54"/>
        <v/>
      </c>
      <c r="AF307" s="33" t="str">
        <f t="shared" si="55"/>
        <v/>
      </c>
      <c r="AG307" s="33" t="str">
        <f t="shared" si="56"/>
        <v/>
      </c>
      <c r="AH307">
        <v>381</v>
      </c>
      <c r="AK307" s="36" t="str">
        <f t="shared" si="57"/>
        <v/>
      </c>
      <c r="AL307" t="str">
        <f t="shared" si="58"/>
        <v/>
      </c>
      <c r="AM307" t="s">
        <v>393</v>
      </c>
      <c r="AN307" t="e">
        <f t="shared" si="59"/>
        <v>#VALUE!</v>
      </c>
      <c r="AO307" t="str">
        <f t="shared" si="53"/>
        <v>------</v>
      </c>
      <c r="AP307" t="str">
        <f t="shared" si="60"/>
        <v>Ruskokerttu</v>
      </c>
      <c r="AQ307" t="str">
        <f t="shared" si="61"/>
        <v>(------)</v>
      </c>
    </row>
    <row r="308" spans="1:43" x14ac:dyDescent="0.2">
      <c r="A308" s="1"/>
      <c r="B308" s="9">
        <f t="shared" si="62"/>
        <v>302</v>
      </c>
      <c r="C308" s="10"/>
      <c r="D308" s="15" t="s">
        <v>300</v>
      </c>
      <c r="E308" s="10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>
        <v>43600</v>
      </c>
      <c r="R308" s="11"/>
      <c r="S308" s="12"/>
      <c r="T308" s="11"/>
      <c r="U308" s="12"/>
      <c r="V308" s="11"/>
      <c r="W308" s="12"/>
      <c r="X308" s="11"/>
      <c r="Y308" s="12"/>
      <c r="Z308" s="11"/>
      <c r="AA308" s="12"/>
      <c r="AB308" s="11"/>
      <c r="AC308" s="12" t="s">
        <v>393</v>
      </c>
      <c r="AD308" s="34"/>
      <c r="AE308" s="33">
        <f t="shared" si="54"/>
        <v>43600</v>
      </c>
      <c r="AF308" s="33">
        <f t="shared" si="55"/>
        <v>43600</v>
      </c>
      <c r="AG308" s="33">
        <f t="shared" si="56"/>
        <v>43600</v>
      </c>
      <c r="AH308">
        <v>382</v>
      </c>
      <c r="AK308" s="36" t="str">
        <f t="shared" si="57"/>
        <v/>
      </c>
      <c r="AL308" t="str">
        <f t="shared" si="58"/>
        <v/>
      </c>
      <c r="AM308" t="s">
        <v>393</v>
      </c>
      <c r="AN308">
        <f t="shared" si="59"/>
        <v>0</v>
      </c>
      <c r="AO308" t="str">
        <f t="shared" si="53"/>
        <v>15.5.---15.5.---15.5.</v>
      </c>
      <c r="AP308" t="str">
        <f t="shared" si="60"/>
        <v>Rusorintakerttu</v>
      </c>
      <c r="AQ308" t="str">
        <f t="shared" si="61"/>
        <v>(15.5.---15.5.---15.5.)</v>
      </c>
    </row>
    <row r="309" spans="1:43" x14ac:dyDescent="0.2">
      <c r="A309" s="1"/>
      <c r="B309" s="9">
        <f t="shared" si="62"/>
        <v>303</v>
      </c>
      <c r="C309" s="10"/>
      <c r="D309" s="23" t="s">
        <v>301</v>
      </c>
      <c r="E309" s="24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R309" s="11"/>
      <c r="S309" s="12"/>
      <c r="T309" s="11"/>
      <c r="U309" s="12"/>
      <c r="V309" s="11"/>
      <c r="W309" s="12"/>
      <c r="X309" s="11"/>
      <c r="Y309" s="12"/>
      <c r="Z309" s="11"/>
      <c r="AA309" s="12"/>
      <c r="AB309" s="11"/>
      <c r="AC309" s="12" t="s">
        <v>393</v>
      </c>
      <c r="AD309" s="34"/>
      <c r="AE309" s="33" t="str">
        <f t="shared" si="54"/>
        <v/>
      </c>
      <c r="AF309" s="33" t="str">
        <f t="shared" si="55"/>
        <v/>
      </c>
      <c r="AG309" s="33" t="str">
        <f t="shared" si="56"/>
        <v/>
      </c>
      <c r="AH309">
        <v>384</v>
      </c>
      <c r="AK309" s="36" t="str">
        <f t="shared" si="57"/>
        <v/>
      </c>
      <c r="AL309" t="str">
        <f t="shared" si="58"/>
        <v/>
      </c>
      <c r="AM309" t="s">
        <v>393</v>
      </c>
      <c r="AN309" t="e">
        <f t="shared" si="59"/>
        <v>#VALUE!</v>
      </c>
      <c r="AO309" t="str">
        <f t="shared" si="53"/>
        <v>------</v>
      </c>
      <c r="AP309" t="str">
        <f t="shared" si="60"/>
        <v>Mustakurkkukerttu</v>
      </c>
      <c r="AQ309" t="str">
        <f t="shared" si="61"/>
        <v>(------)</v>
      </c>
    </row>
    <row r="310" spans="1:43" x14ac:dyDescent="0.2">
      <c r="A310" s="1"/>
      <c r="B310" s="9">
        <f t="shared" ref="B310:B313" si="63">B309+1</f>
        <v>304</v>
      </c>
      <c r="C310" s="10"/>
      <c r="D310" s="13" t="s">
        <v>395</v>
      </c>
      <c r="E310" s="10"/>
      <c r="F310" s="11"/>
      <c r="G310" s="12"/>
      <c r="H310" s="11"/>
      <c r="I310" s="12"/>
      <c r="J310" s="11"/>
      <c r="K310" s="12"/>
      <c r="L310" s="11"/>
      <c r="M310" s="12"/>
      <c r="N310" s="11"/>
      <c r="O310" s="12"/>
      <c r="P310" s="11"/>
      <c r="Q310" s="12"/>
      <c r="R310" s="11"/>
      <c r="S310" s="12"/>
      <c r="T310" s="11"/>
      <c r="U310" s="12"/>
      <c r="V310" s="11"/>
      <c r="W310" s="12"/>
      <c r="X310" s="11"/>
      <c r="Y310" s="12"/>
      <c r="Z310" s="11"/>
      <c r="AA310" s="12"/>
      <c r="AB310" s="11"/>
      <c r="AC310" s="12">
        <v>43641</v>
      </c>
      <c r="AD310" s="34"/>
      <c r="AE310" s="33">
        <f t="shared" si="54"/>
        <v>43641</v>
      </c>
      <c r="AF310" s="33">
        <f t="shared" si="55"/>
        <v>43641</v>
      </c>
      <c r="AG310" s="33">
        <f t="shared" si="56"/>
        <v>43641</v>
      </c>
      <c r="AH310">
        <v>385</v>
      </c>
      <c r="AK310" s="36" t="str">
        <f t="shared" si="57"/>
        <v/>
      </c>
      <c r="AL310" t="str">
        <f t="shared" si="58"/>
        <v/>
      </c>
      <c r="AM310" t="s">
        <v>393</v>
      </c>
      <c r="AN310">
        <f t="shared" si="59"/>
        <v>0</v>
      </c>
      <c r="AO310" t="str">
        <f t="shared" si="53"/>
        <v>25.6.---25.6.---25.6.</v>
      </c>
      <c r="AP310" t="str">
        <f t="shared" si="60"/>
        <v>Kääpiökerttu</v>
      </c>
      <c r="AQ310" t="str">
        <f t="shared" si="61"/>
        <v>(25.6.---25.6.---25.6.)</v>
      </c>
    </row>
    <row r="311" spans="1:43" x14ac:dyDescent="0.2">
      <c r="A311" s="1"/>
      <c r="B311" s="9">
        <f t="shared" si="63"/>
        <v>305</v>
      </c>
      <c r="C311" s="10"/>
      <c r="D311" s="13" t="s">
        <v>302</v>
      </c>
      <c r="E311" s="10"/>
      <c r="F311" s="11"/>
      <c r="G311" s="12"/>
      <c r="H311" s="11"/>
      <c r="I311" s="12"/>
      <c r="J311" s="11"/>
      <c r="K311" s="12"/>
      <c r="L311" s="11"/>
      <c r="M311" s="12"/>
      <c r="N311" s="11"/>
      <c r="O311" s="12"/>
      <c r="P311" s="11"/>
      <c r="Q311" s="12"/>
      <c r="R311" s="11">
        <v>43695</v>
      </c>
      <c r="S311" s="12"/>
      <c r="T311" s="11"/>
      <c r="U311" s="12"/>
      <c r="V311" s="11"/>
      <c r="W311" s="12"/>
      <c r="X311" s="11"/>
      <c r="Y311" s="12"/>
      <c r="Z311" s="11"/>
      <c r="AA311" s="12"/>
      <c r="AB311" s="11">
        <v>43717</v>
      </c>
      <c r="AC311" s="12">
        <v>43688</v>
      </c>
      <c r="AD311" s="34"/>
      <c r="AE311" s="33">
        <f t="shared" si="54"/>
        <v>43688</v>
      </c>
      <c r="AF311" s="33">
        <f t="shared" si="55"/>
        <v>43695</v>
      </c>
      <c r="AG311" s="33">
        <f t="shared" si="56"/>
        <v>43717</v>
      </c>
      <c r="AH311">
        <v>386</v>
      </c>
      <c r="AK311" s="36" t="str">
        <f t="shared" si="57"/>
        <v/>
      </c>
      <c r="AL311" t="str">
        <f t="shared" si="58"/>
        <v/>
      </c>
      <c r="AM311" t="s">
        <v>393</v>
      </c>
      <c r="AN311">
        <f t="shared" si="59"/>
        <v>29</v>
      </c>
      <c r="AO311" t="str">
        <f t="shared" si="53"/>
        <v>11.8.---18.8.---9.9.</v>
      </c>
      <c r="AP311" t="str">
        <f t="shared" si="60"/>
        <v>Kirjokerttu</v>
      </c>
      <c r="AQ311" t="str">
        <f t="shared" si="61"/>
        <v>(11.8.---18.8.---9.9.)</v>
      </c>
    </row>
    <row r="312" spans="1:43" x14ac:dyDescent="0.2">
      <c r="A312" s="1"/>
      <c r="B312" s="9">
        <f t="shared" si="63"/>
        <v>306</v>
      </c>
      <c r="C312" s="10"/>
      <c r="D312" s="9" t="s">
        <v>303</v>
      </c>
      <c r="E312" s="10"/>
      <c r="F312" s="11">
        <v>43593</v>
      </c>
      <c r="G312" s="12">
        <v>43592</v>
      </c>
      <c r="H312" s="11">
        <v>43592</v>
      </c>
      <c r="I312" s="12">
        <v>43597</v>
      </c>
      <c r="J312" s="11">
        <v>43590</v>
      </c>
      <c r="K312" s="12">
        <v>43595</v>
      </c>
      <c r="L312" s="11">
        <v>43589</v>
      </c>
      <c r="M312" s="12">
        <v>43593</v>
      </c>
      <c r="N312" s="11">
        <v>43585</v>
      </c>
      <c r="O312" s="12">
        <v>43587</v>
      </c>
      <c r="P312" s="11">
        <v>43593</v>
      </c>
      <c r="Q312" s="12">
        <v>43593</v>
      </c>
      <c r="R312" s="11">
        <v>43590</v>
      </c>
      <c r="S312" s="12">
        <v>43592</v>
      </c>
      <c r="T312" s="11">
        <v>43594</v>
      </c>
      <c r="U312" s="12">
        <v>43590</v>
      </c>
      <c r="V312" s="11">
        <v>43589</v>
      </c>
      <c r="W312" s="12">
        <v>43597</v>
      </c>
      <c r="X312" s="11">
        <v>43591</v>
      </c>
      <c r="Y312" s="12">
        <v>43594</v>
      </c>
      <c r="Z312" s="11">
        <v>43588</v>
      </c>
      <c r="AA312" s="12">
        <v>43587</v>
      </c>
      <c r="AB312" s="11">
        <v>43594</v>
      </c>
      <c r="AC312" s="12">
        <v>43592</v>
      </c>
      <c r="AD312" s="34"/>
      <c r="AE312" s="33">
        <f t="shared" si="54"/>
        <v>43585</v>
      </c>
      <c r="AF312" s="33">
        <f t="shared" si="55"/>
        <v>43592</v>
      </c>
      <c r="AG312" s="33">
        <f t="shared" si="56"/>
        <v>43597</v>
      </c>
      <c r="AH312">
        <v>387</v>
      </c>
      <c r="AK312" s="36" t="str">
        <f t="shared" si="57"/>
        <v/>
      </c>
      <c r="AL312" t="str">
        <f t="shared" si="58"/>
        <v/>
      </c>
      <c r="AM312" t="s">
        <v>393</v>
      </c>
      <c r="AN312">
        <f t="shared" si="59"/>
        <v>12</v>
      </c>
      <c r="AO312" t="str">
        <f t="shared" si="53"/>
        <v>30.4.---7.5.---12.5.</v>
      </c>
      <c r="AP312" t="str">
        <f t="shared" si="60"/>
        <v>Hernekerttu</v>
      </c>
      <c r="AQ312" t="str">
        <f t="shared" si="61"/>
        <v>(30.4.---7.5.---12.5.)</v>
      </c>
    </row>
    <row r="313" spans="1:43" x14ac:dyDescent="0.2">
      <c r="A313" s="1"/>
      <c r="B313" s="9">
        <f t="shared" si="63"/>
        <v>307</v>
      </c>
      <c r="C313" s="10"/>
      <c r="D313" s="9" t="s">
        <v>304</v>
      </c>
      <c r="E313" s="16"/>
      <c r="F313" s="11">
        <v>43604</v>
      </c>
      <c r="G313" s="12">
        <v>43599</v>
      </c>
      <c r="H313" s="11">
        <v>43599</v>
      </c>
      <c r="I313" s="12">
        <v>43599</v>
      </c>
      <c r="J313" s="11">
        <v>43591</v>
      </c>
      <c r="K313" s="12">
        <v>43606</v>
      </c>
      <c r="L313" s="11">
        <v>43596</v>
      </c>
      <c r="M313" s="12">
        <v>43603</v>
      </c>
      <c r="N313" s="11">
        <v>43593</v>
      </c>
      <c r="O313" s="12">
        <v>43598</v>
      </c>
      <c r="P313" s="11">
        <v>43599</v>
      </c>
      <c r="Q313" s="12">
        <v>43600</v>
      </c>
      <c r="R313" s="11">
        <v>43601</v>
      </c>
      <c r="S313" s="12">
        <v>43598</v>
      </c>
      <c r="T313" s="11">
        <v>43602</v>
      </c>
      <c r="U313" s="12">
        <v>43600</v>
      </c>
      <c r="V313" s="11">
        <v>43592</v>
      </c>
      <c r="W313" s="12">
        <v>43607</v>
      </c>
      <c r="X313" s="11">
        <v>43596</v>
      </c>
      <c r="Y313" s="12">
        <v>43600</v>
      </c>
      <c r="Z313" s="11">
        <v>43598</v>
      </c>
      <c r="AA313" s="12">
        <v>43599</v>
      </c>
      <c r="AB313" s="11">
        <v>43599</v>
      </c>
      <c r="AC313" s="12">
        <v>43600</v>
      </c>
      <c r="AD313" s="34"/>
      <c r="AE313" s="33">
        <f t="shared" si="54"/>
        <v>43591</v>
      </c>
      <c r="AF313" s="33">
        <f t="shared" si="55"/>
        <v>43599</v>
      </c>
      <c r="AG313" s="33">
        <f t="shared" si="56"/>
        <v>43607</v>
      </c>
      <c r="AH313">
        <v>388</v>
      </c>
      <c r="AK313" s="36" t="str">
        <f t="shared" si="57"/>
        <v/>
      </c>
      <c r="AL313" t="str">
        <f t="shared" si="58"/>
        <v/>
      </c>
      <c r="AM313" t="s">
        <v>393</v>
      </c>
      <c r="AN313">
        <f t="shared" si="59"/>
        <v>16</v>
      </c>
      <c r="AO313" t="str">
        <f t="shared" si="53"/>
        <v>6.5.---14.5.---22.5.</v>
      </c>
      <c r="AP313" t="str">
        <f t="shared" si="60"/>
        <v>Pensaskerttu</v>
      </c>
      <c r="AQ313" t="str">
        <f t="shared" si="61"/>
        <v>(6.5.---14.5.---22.5.)</v>
      </c>
    </row>
    <row r="314" spans="1:43" x14ac:dyDescent="0.2">
      <c r="A314" s="1"/>
      <c r="B314" s="9">
        <f t="shared" ref="B314:B345" si="64">B313+1</f>
        <v>308</v>
      </c>
      <c r="C314" s="10"/>
      <c r="D314" s="9" t="s">
        <v>305</v>
      </c>
      <c r="E314" s="14"/>
      <c r="F314" s="11">
        <v>43603</v>
      </c>
      <c r="G314" s="12">
        <v>43601</v>
      </c>
      <c r="H314" s="11">
        <v>43596</v>
      </c>
      <c r="I314" s="12">
        <v>43601</v>
      </c>
      <c r="J314" s="11">
        <v>43605</v>
      </c>
      <c r="K314" s="12">
        <v>43607</v>
      </c>
      <c r="L314" s="11">
        <v>43605</v>
      </c>
      <c r="M314" s="12">
        <v>43604</v>
      </c>
      <c r="N314" s="11">
        <v>43605</v>
      </c>
      <c r="O314" s="12">
        <v>43606</v>
      </c>
      <c r="P314" s="11">
        <v>43600</v>
      </c>
      <c r="Q314" s="12">
        <v>43605</v>
      </c>
      <c r="R314" s="11">
        <v>43601</v>
      </c>
      <c r="S314" s="12">
        <v>43600</v>
      </c>
      <c r="T314" s="11">
        <v>43604</v>
      </c>
      <c r="U314" s="12">
        <v>43606</v>
      </c>
      <c r="V314" s="11">
        <v>43598</v>
      </c>
      <c r="W314" s="12">
        <v>43601</v>
      </c>
      <c r="X314" s="11">
        <v>43597</v>
      </c>
      <c r="Y314" s="12">
        <v>43601</v>
      </c>
      <c r="Z314" s="11">
        <v>43602</v>
      </c>
      <c r="AA314" s="12">
        <v>43598</v>
      </c>
      <c r="AB314" s="11">
        <v>43606</v>
      </c>
      <c r="AC314" s="12">
        <v>43602</v>
      </c>
      <c r="AD314" s="34"/>
      <c r="AE314" s="33">
        <f t="shared" si="54"/>
        <v>43596</v>
      </c>
      <c r="AF314" s="33">
        <f t="shared" si="55"/>
        <v>43602</v>
      </c>
      <c r="AG314" s="33">
        <f t="shared" si="56"/>
        <v>43607</v>
      </c>
      <c r="AH314">
        <v>389</v>
      </c>
      <c r="AK314" s="36" t="str">
        <f t="shared" si="57"/>
        <v/>
      </c>
      <c r="AL314" t="str">
        <f t="shared" si="58"/>
        <v/>
      </c>
      <c r="AM314" t="s">
        <v>393</v>
      </c>
      <c r="AN314">
        <f t="shared" si="59"/>
        <v>11</v>
      </c>
      <c r="AO314" t="str">
        <f t="shared" si="53"/>
        <v>11.5.---17.5.---22.5.</v>
      </c>
      <c r="AP314" t="str">
        <f t="shared" si="60"/>
        <v>Lehtokerttu</v>
      </c>
      <c r="AQ314" t="str">
        <f t="shared" si="61"/>
        <v>(11.5.---17.5.---22.5.)</v>
      </c>
    </row>
    <row r="315" spans="1:43" x14ac:dyDescent="0.2">
      <c r="A315" s="1"/>
      <c r="B315" s="9">
        <f t="shared" si="64"/>
        <v>309</v>
      </c>
      <c r="C315" s="10"/>
      <c r="D315" s="25" t="s">
        <v>306</v>
      </c>
      <c r="E315" s="10"/>
      <c r="F315" s="11">
        <v>43604</v>
      </c>
      <c r="G315" s="12">
        <f>IF(AG1,DATE(2019,1,8),DATE(2019,5,30))</f>
        <v>43615</v>
      </c>
      <c r="H315" s="11">
        <v>43600</v>
      </c>
      <c r="I315" s="12">
        <v>43608</v>
      </c>
      <c r="J315" s="11">
        <v>43593</v>
      </c>
      <c r="K315" s="12">
        <f>IF(AG1,DATE(2019,1,1),DATE(2019,5,24))</f>
        <v>43609</v>
      </c>
      <c r="L315" s="11">
        <f>IF(AG1,DATE(2019,1,1),DATE(2019,5,7))</f>
        <v>43592</v>
      </c>
      <c r="M315" s="12">
        <f>IF(AG1,DATE(2019,1,1),DATE(2019,5,3))</f>
        <v>43588</v>
      </c>
      <c r="N315" s="11">
        <f>IF(AG1,DATE(2019,1,1),DATE(2019,5,7))</f>
        <v>43592</v>
      </c>
      <c r="O315" s="12">
        <f>IF(AG1,DATE(2019,1,1),DATE(2019,5,4))</f>
        <v>43589</v>
      </c>
      <c r="P315" s="11">
        <v>43600</v>
      </c>
      <c r="Q315" s="12">
        <v>43600</v>
      </c>
      <c r="R315" s="11">
        <f>IF(AG1,DATE(2019,1,3),DATE(2019,5,7))</f>
        <v>43592</v>
      </c>
      <c r="S315" s="12">
        <v>43598</v>
      </c>
      <c r="T315" s="11">
        <v>43602</v>
      </c>
      <c r="U315" s="12">
        <f>IF(AG1,DATE(2019,1,1),DATE(2019,5,9))</f>
        <v>43594</v>
      </c>
      <c r="V315" s="11">
        <f>IF(AG1,DATE(2019,1,1),DATE(2019,5,4))</f>
        <v>43589</v>
      </c>
      <c r="W315" s="12">
        <v>43608</v>
      </c>
      <c r="X315" s="11">
        <f>IF(AG1,DATE(2019,1,2),DATE(2019,5,11))</f>
        <v>43596</v>
      </c>
      <c r="Y315" s="12">
        <f>IF(AG1,DATE(2019,1,1),DATE(2019,5,16))</f>
        <v>43601</v>
      </c>
      <c r="Z315" s="11">
        <f>IF(AG1,DATE(2019,1,1),DATE(2019,4,23))</f>
        <v>43578</v>
      </c>
      <c r="AA315" s="12">
        <f>IF(AG1,DATE(2019,1,1),DATE(2019,5,13))</f>
        <v>43598</v>
      </c>
      <c r="AB315" s="11">
        <f>IF(AF1,DATE(2019,1,1),DATE(2019,5,7))</f>
        <v>43592</v>
      </c>
      <c r="AC315" s="12">
        <f>IF(AG1,DATE(2019,1,1),DATE(2019,4,23))</f>
        <v>43578</v>
      </c>
      <c r="AD315" s="34"/>
      <c r="AE315" s="33">
        <f t="shared" si="54"/>
        <v>43578</v>
      </c>
      <c r="AF315" s="33">
        <f t="shared" si="55"/>
        <v>43597</v>
      </c>
      <c r="AG315" s="33">
        <f t="shared" si="56"/>
        <v>43615</v>
      </c>
      <c r="AH315">
        <v>390</v>
      </c>
      <c r="AK315" s="36" t="str">
        <f t="shared" si="57"/>
        <v/>
      </c>
      <c r="AL315" t="str">
        <f t="shared" si="58"/>
        <v/>
      </c>
      <c r="AM315">
        <v>12</v>
      </c>
      <c r="AN315">
        <f t="shared" si="59"/>
        <v>37</v>
      </c>
      <c r="AO315" t="str">
        <f t="shared" si="53"/>
        <v>23.4.---12.5.---30.5.</v>
      </c>
      <c r="AP315" t="str">
        <f t="shared" si="60"/>
        <v>Mustapääkerttu</v>
      </c>
      <c r="AQ315" t="str">
        <f t="shared" si="61"/>
        <v>(23.4.---12.5.---30.5., 12/21)</v>
      </c>
    </row>
    <row r="316" spans="1:43" x14ac:dyDescent="0.2">
      <c r="A316" s="1"/>
      <c r="B316" s="9">
        <f t="shared" si="64"/>
        <v>310</v>
      </c>
      <c r="C316" s="10"/>
      <c r="D316" s="9" t="s">
        <v>307</v>
      </c>
      <c r="E316" s="10"/>
      <c r="F316" s="11">
        <v>43613</v>
      </c>
      <c r="G316" s="12">
        <v>43618</v>
      </c>
      <c r="H316" s="11">
        <v>43619</v>
      </c>
      <c r="I316" s="12">
        <v>43616</v>
      </c>
      <c r="J316" s="11">
        <v>43614</v>
      </c>
      <c r="K316" s="12">
        <v>43628</v>
      </c>
      <c r="L316" s="11">
        <v>43618</v>
      </c>
      <c r="M316" s="12">
        <v>43618</v>
      </c>
      <c r="N316" s="11">
        <v>43619</v>
      </c>
      <c r="O316" s="12">
        <v>43619</v>
      </c>
      <c r="P316" s="11">
        <v>43599</v>
      </c>
      <c r="Q316" s="12">
        <v>43624</v>
      </c>
      <c r="R316" s="11">
        <v>43607</v>
      </c>
      <c r="S316" s="12">
        <v>43603</v>
      </c>
      <c r="T316" s="11">
        <v>43604</v>
      </c>
      <c r="U316" s="12">
        <v>43614</v>
      </c>
      <c r="V316" s="11">
        <v>43613</v>
      </c>
      <c r="W316" s="12">
        <v>43619</v>
      </c>
      <c r="X316" s="11">
        <v>43608</v>
      </c>
      <c r="Y316" s="12">
        <v>43604</v>
      </c>
      <c r="Z316" s="11">
        <v>43609</v>
      </c>
      <c r="AA316" s="12">
        <v>43608</v>
      </c>
      <c r="AB316" s="11">
        <v>43616</v>
      </c>
      <c r="AC316" s="12">
        <v>43607</v>
      </c>
      <c r="AD316" s="34"/>
      <c r="AE316" s="33">
        <f t="shared" si="54"/>
        <v>43599</v>
      </c>
      <c r="AF316" s="33">
        <f t="shared" si="55"/>
        <v>43614</v>
      </c>
      <c r="AG316" s="33">
        <f t="shared" si="56"/>
        <v>43628</v>
      </c>
      <c r="AH316">
        <v>394</v>
      </c>
      <c r="AK316" s="36" t="str">
        <f t="shared" si="57"/>
        <v/>
      </c>
      <c r="AL316" t="str">
        <f t="shared" si="58"/>
        <v/>
      </c>
      <c r="AM316" t="s">
        <v>393</v>
      </c>
      <c r="AN316">
        <f t="shared" si="59"/>
        <v>29</v>
      </c>
      <c r="AO316" t="str">
        <f t="shared" si="53"/>
        <v>14.5.---29.5.---12.6.</v>
      </c>
      <c r="AP316" t="str">
        <f t="shared" si="60"/>
        <v>Idänuunilintu</v>
      </c>
      <c r="AQ316" t="str">
        <f t="shared" si="61"/>
        <v>(14.5.---29.5.---12.6.)</v>
      </c>
    </row>
    <row r="317" spans="1:43" x14ac:dyDescent="0.2">
      <c r="A317" s="1"/>
      <c r="B317" s="9">
        <f t="shared" si="64"/>
        <v>311</v>
      </c>
      <c r="C317" s="10"/>
      <c r="D317" s="9" t="s">
        <v>308</v>
      </c>
      <c r="E317" s="10"/>
      <c r="F317" s="11">
        <v>43617</v>
      </c>
      <c r="G317" s="12">
        <v>43624</v>
      </c>
      <c r="H317" s="11">
        <v>43627</v>
      </c>
      <c r="I317" s="12">
        <v>43624</v>
      </c>
      <c r="J317" s="11"/>
      <c r="K317" s="12">
        <v>43648</v>
      </c>
      <c r="L317" s="11">
        <v>43647</v>
      </c>
      <c r="M317" s="12">
        <v>43633</v>
      </c>
      <c r="N317" s="11">
        <v>43630</v>
      </c>
      <c r="O317" s="12">
        <v>43626</v>
      </c>
      <c r="P317" s="11">
        <v>43612</v>
      </c>
      <c r="Q317" s="12">
        <v>43627</v>
      </c>
      <c r="R317" s="11"/>
      <c r="S317" s="12">
        <v>43614</v>
      </c>
      <c r="T317" s="11">
        <v>43638</v>
      </c>
      <c r="U317" s="12"/>
      <c r="V317" s="11"/>
      <c r="W317" s="12">
        <v>43627</v>
      </c>
      <c r="X317" s="11">
        <v>43614</v>
      </c>
      <c r="Y317" s="12">
        <v>43629</v>
      </c>
      <c r="Z317" s="11">
        <v>43649</v>
      </c>
      <c r="AA317" s="12"/>
      <c r="AB317" s="11">
        <v>43636</v>
      </c>
      <c r="AC317" s="12">
        <v>43631</v>
      </c>
      <c r="AD317" s="34"/>
      <c r="AE317" s="33">
        <f t="shared" si="54"/>
        <v>43612</v>
      </c>
      <c r="AF317" s="33">
        <f t="shared" si="55"/>
        <v>43627</v>
      </c>
      <c r="AG317" s="33">
        <f t="shared" si="56"/>
        <v>43649</v>
      </c>
      <c r="AH317">
        <v>395</v>
      </c>
      <c r="AK317" s="36" t="str">
        <f t="shared" si="57"/>
        <v/>
      </c>
      <c r="AL317" t="str">
        <f t="shared" si="58"/>
        <v/>
      </c>
      <c r="AM317" t="s">
        <v>393</v>
      </c>
      <c r="AN317">
        <f t="shared" si="59"/>
        <v>37</v>
      </c>
      <c r="AO317" t="str">
        <f t="shared" si="53"/>
        <v>27.5.---11.6.---3.7.</v>
      </c>
      <c r="AP317" t="str">
        <f t="shared" si="60"/>
        <v>Lapinuunilintu</v>
      </c>
      <c r="AQ317" t="str">
        <f t="shared" si="61"/>
        <v>(27.5.---11.6.---3.7.)</v>
      </c>
    </row>
    <row r="318" spans="1:43" x14ac:dyDescent="0.2">
      <c r="A318" s="1"/>
      <c r="B318" s="9">
        <f t="shared" si="64"/>
        <v>312</v>
      </c>
      <c r="C318" s="10"/>
      <c r="D318" s="13" t="s">
        <v>309</v>
      </c>
      <c r="E318" s="14"/>
      <c r="F318" s="11"/>
      <c r="G318" s="12"/>
      <c r="H318" s="11"/>
      <c r="I318" s="12">
        <v>43745</v>
      </c>
      <c r="J318" s="11">
        <v>43746</v>
      </c>
      <c r="K318" s="12"/>
      <c r="L318" s="11"/>
      <c r="M318" s="12">
        <v>43753</v>
      </c>
      <c r="N318" s="11">
        <v>43744</v>
      </c>
      <c r="O318" s="12"/>
      <c r="P318" s="11">
        <v>43744</v>
      </c>
      <c r="Q318" s="12"/>
      <c r="R318" s="11">
        <v>43760</v>
      </c>
      <c r="S318" s="12">
        <v>43727</v>
      </c>
      <c r="T318" s="11">
        <v>43743</v>
      </c>
      <c r="U318" s="12">
        <v>43743</v>
      </c>
      <c r="V318" s="11">
        <v>43729</v>
      </c>
      <c r="W318" s="12">
        <v>43746</v>
      </c>
      <c r="X318" s="11">
        <v>43742</v>
      </c>
      <c r="Y318" s="12">
        <v>43742</v>
      </c>
      <c r="Z318" s="11">
        <v>43748</v>
      </c>
      <c r="AA318" s="12">
        <v>43740</v>
      </c>
      <c r="AB318" s="11">
        <v>43737</v>
      </c>
      <c r="AC318" s="12">
        <v>43744</v>
      </c>
      <c r="AD318" s="34"/>
      <c r="AE318" s="33">
        <f t="shared" si="54"/>
        <v>43727</v>
      </c>
      <c r="AF318" s="33">
        <f t="shared" si="55"/>
        <v>43744</v>
      </c>
      <c r="AG318" s="33">
        <f t="shared" si="56"/>
        <v>43760</v>
      </c>
      <c r="AH318">
        <v>397</v>
      </c>
      <c r="AK318" s="36" t="str">
        <f t="shared" si="57"/>
        <v/>
      </c>
      <c r="AL318" t="str">
        <f t="shared" si="58"/>
        <v/>
      </c>
      <c r="AM318" t="s">
        <v>393</v>
      </c>
      <c r="AN318">
        <f t="shared" si="59"/>
        <v>33</v>
      </c>
      <c r="AO318" t="str">
        <f t="shared" si="53"/>
        <v>19.9.---6.10.---22.10.</v>
      </c>
      <c r="AP318" t="str">
        <f t="shared" si="60"/>
        <v>Hippiäisuunilintu</v>
      </c>
      <c r="AQ318" t="str">
        <f t="shared" si="61"/>
        <v>(19.9.---6.10.---22.10.)</v>
      </c>
    </row>
    <row r="319" spans="1:43" x14ac:dyDescent="0.2">
      <c r="A319" s="1"/>
      <c r="B319" s="9">
        <f t="shared" si="64"/>
        <v>313</v>
      </c>
      <c r="C319" s="10"/>
      <c r="D319" s="9" t="s">
        <v>310</v>
      </c>
      <c r="E319" s="10"/>
      <c r="F319" s="11"/>
      <c r="G319" s="12"/>
      <c r="H319" s="11"/>
      <c r="I319" s="12">
        <v>43714</v>
      </c>
      <c r="J319" s="11">
        <v>43714</v>
      </c>
      <c r="K319" s="12">
        <v>43718</v>
      </c>
      <c r="L319" s="11">
        <v>43715</v>
      </c>
      <c r="M319" s="12">
        <v>43721</v>
      </c>
      <c r="N319" s="11">
        <v>43715</v>
      </c>
      <c r="O319" s="12">
        <v>43702</v>
      </c>
      <c r="P319" s="11">
        <v>43719</v>
      </c>
      <c r="Q319" s="12">
        <v>43632</v>
      </c>
      <c r="R319" s="11">
        <v>43710</v>
      </c>
      <c r="S319" s="12">
        <v>43710</v>
      </c>
      <c r="T319" s="11">
        <v>43714</v>
      </c>
      <c r="U319" s="12">
        <v>43712</v>
      </c>
      <c r="V319" s="11">
        <v>43711</v>
      </c>
      <c r="W319" s="12">
        <v>43713</v>
      </c>
      <c r="X319" s="11">
        <v>43706</v>
      </c>
      <c r="Y319" s="12">
        <v>43706</v>
      </c>
      <c r="Z319" s="11">
        <v>43658</v>
      </c>
      <c r="AA319" s="12">
        <v>43711</v>
      </c>
      <c r="AB319" s="11">
        <v>43704</v>
      </c>
      <c r="AC319" s="12">
        <v>43704</v>
      </c>
      <c r="AD319" s="34"/>
      <c r="AE319" s="33">
        <f t="shared" si="54"/>
        <v>43632</v>
      </c>
      <c r="AF319" s="33">
        <f t="shared" si="55"/>
        <v>43711</v>
      </c>
      <c r="AG319" s="33">
        <f t="shared" si="56"/>
        <v>43721</v>
      </c>
      <c r="AH319">
        <v>398</v>
      </c>
      <c r="AK319" s="36" t="str">
        <f t="shared" si="57"/>
        <v/>
      </c>
      <c r="AL319" t="str">
        <f t="shared" si="58"/>
        <v/>
      </c>
      <c r="AM319" t="s">
        <v>393</v>
      </c>
      <c r="AN319">
        <f t="shared" si="59"/>
        <v>89</v>
      </c>
      <c r="AO319" t="str">
        <f t="shared" si="53"/>
        <v>16.6.---3.9.---13.9.</v>
      </c>
      <c r="AP319" t="str">
        <f t="shared" si="60"/>
        <v>Taigauunilintu</v>
      </c>
      <c r="AQ319" t="str">
        <f t="shared" si="61"/>
        <v>(16.6.---3.9.---13.9.)</v>
      </c>
    </row>
    <row r="320" spans="1:43" x14ac:dyDescent="0.2">
      <c r="A320" s="1"/>
      <c r="B320" s="9">
        <f t="shared" si="64"/>
        <v>314</v>
      </c>
      <c r="C320" s="10"/>
      <c r="D320" s="23" t="s">
        <v>311</v>
      </c>
      <c r="E320" s="24"/>
      <c r="F320" s="11"/>
      <c r="G320" s="12"/>
      <c r="H320" s="11"/>
      <c r="I320" s="12"/>
      <c r="J320" s="11"/>
      <c r="K320" s="12">
        <v>43776</v>
      </c>
      <c r="L320" s="11"/>
      <c r="M320" s="12">
        <v>43768</v>
      </c>
      <c r="N320" s="11">
        <v>43757</v>
      </c>
      <c r="O320" s="12"/>
      <c r="P320" s="11"/>
      <c r="Q320" s="12"/>
      <c r="R320" s="11"/>
      <c r="S320" s="12"/>
      <c r="T320" s="11">
        <v>43773</v>
      </c>
      <c r="U320" s="12"/>
      <c r="V320" s="11"/>
      <c r="W320" s="12"/>
      <c r="X320" s="11">
        <v>43785</v>
      </c>
      <c r="Y320" s="12"/>
      <c r="Z320" s="11"/>
      <c r="AA320" s="12"/>
      <c r="AB320" s="11">
        <v>43759</v>
      </c>
      <c r="AC320" s="12" t="s">
        <v>393</v>
      </c>
      <c r="AD320" s="34"/>
      <c r="AE320" s="33">
        <f t="shared" si="54"/>
        <v>43757</v>
      </c>
      <c r="AF320" s="33">
        <f t="shared" si="55"/>
        <v>43770.5</v>
      </c>
      <c r="AG320" s="33">
        <f t="shared" si="56"/>
        <v>43785</v>
      </c>
      <c r="AH320">
        <v>399</v>
      </c>
      <c r="AK320" s="36" t="str">
        <f t="shared" si="57"/>
        <v/>
      </c>
      <c r="AL320" t="str">
        <f t="shared" si="58"/>
        <v/>
      </c>
      <c r="AM320" t="s">
        <v>393</v>
      </c>
      <c r="AN320">
        <f t="shared" si="59"/>
        <v>28</v>
      </c>
      <c r="AO320" t="str">
        <f t="shared" si="53"/>
        <v>19.10.---1.11.---16.11.</v>
      </c>
      <c r="AP320" t="str">
        <f t="shared" si="60"/>
        <v>Kashmirinuunilintu</v>
      </c>
      <c r="AQ320" t="str">
        <f t="shared" si="61"/>
        <v>(19.10.---1.11.---16.11.)</v>
      </c>
    </row>
    <row r="321" spans="1:43" x14ac:dyDescent="0.2">
      <c r="A321" s="1"/>
      <c r="B321" s="9">
        <f t="shared" si="64"/>
        <v>315</v>
      </c>
      <c r="C321" s="10"/>
      <c r="D321" s="23" t="s">
        <v>312</v>
      </c>
      <c r="E321" s="24"/>
      <c r="F321" s="11"/>
      <c r="G321" s="12"/>
      <c r="H321" s="11"/>
      <c r="I321" s="12"/>
      <c r="J321" s="11">
        <v>43756</v>
      </c>
      <c r="K321" s="12"/>
      <c r="L321" s="11"/>
      <c r="M321" s="12"/>
      <c r="N321" s="11"/>
      <c r="O321" s="12"/>
      <c r="P321" s="11"/>
      <c r="Q321" s="12"/>
      <c r="R321" s="11"/>
      <c r="S321" s="12"/>
      <c r="T321" s="11"/>
      <c r="U321" s="12"/>
      <c r="V321" s="11"/>
      <c r="W321" s="12"/>
      <c r="X321" s="11"/>
      <c r="Y321" s="12"/>
      <c r="Z321" s="11"/>
      <c r="AA321" s="12"/>
      <c r="AB321" s="11">
        <v>43737</v>
      </c>
      <c r="AC321" s="12" t="s">
        <v>393</v>
      </c>
      <c r="AD321" s="34"/>
      <c r="AE321" s="33">
        <f t="shared" si="54"/>
        <v>43737</v>
      </c>
      <c r="AF321" s="33">
        <f t="shared" si="55"/>
        <v>43746.5</v>
      </c>
      <c r="AG321" s="33">
        <f t="shared" si="56"/>
        <v>43756</v>
      </c>
      <c r="AH321">
        <v>401</v>
      </c>
      <c r="AK321" s="36" t="str">
        <f t="shared" si="57"/>
        <v/>
      </c>
      <c r="AL321" t="str">
        <f t="shared" si="58"/>
        <v/>
      </c>
      <c r="AM321" t="s">
        <v>393</v>
      </c>
      <c r="AN321">
        <f t="shared" si="59"/>
        <v>19</v>
      </c>
      <c r="AO321" t="str">
        <f t="shared" si="53"/>
        <v>29.9.---8.10.---18.10.</v>
      </c>
      <c r="AP321" t="str">
        <f t="shared" si="60"/>
        <v>Ruskouunilintu</v>
      </c>
      <c r="AQ321" t="str">
        <f t="shared" si="61"/>
        <v>(29.9.---8.10.---18.10.)</v>
      </c>
    </row>
    <row r="322" spans="1:43" x14ac:dyDescent="0.2">
      <c r="A322" s="1"/>
      <c r="B322" s="9">
        <f t="shared" si="64"/>
        <v>316</v>
      </c>
      <c r="C322" s="10"/>
      <c r="D322" s="23" t="s">
        <v>313</v>
      </c>
      <c r="E322" s="24"/>
      <c r="F322" s="11"/>
      <c r="G322" s="12"/>
      <c r="H322" s="11"/>
      <c r="I322" s="12"/>
      <c r="J322" s="11">
        <v>43747</v>
      </c>
      <c r="K322" s="12"/>
      <c r="L322" s="11"/>
      <c r="M322" s="12"/>
      <c r="N322" s="11"/>
      <c r="O322" s="12"/>
      <c r="P322" s="11"/>
      <c r="Q322" s="12"/>
      <c r="R322" s="11"/>
      <c r="S322" s="12"/>
      <c r="T322" s="11"/>
      <c r="U322" s="12"/>
      <c r="V322" s="11"/>
      <c r="W322" s="12"/>
      <c r="X322" s="11"/>
      <c r="Y322" s="12"/>
      <c r="Z322" s="11"/>
      <c r="AA322" s="12"/>
      <c r="AB322" s="11"/>
      <c r="AC322" s="12" t="s">
        <v>393</v>
      </c>
      <c r="AD322" s="34"/>
      <c r="AE322" s="33">
        <f t="shared" si="54"/>
        <v>43747</v>
      </c>
      <c r="AF322" s="33">
        <f t="shared" si="55"/>
        <v>43747</v>
      </c>
      <c r="AG322" s="33">
        <f t="shared" si="56"/>
        <v>43747</v>
      </c>
      <c r="AH322">
        <v>403</v>
      </c>
      <c r="AK322" s="36" t="str">
        <f t="shared" si="57"/>
        <v/>
      </c>
      <c r="AL322" t="str">
        <f t="shared" si="58"/>
        <v/>
      </c>
      <c r="AM322" t="s">
        <v>393</v>
      </c>
      <c r="AN322">
        <f t="shared" si="59"/>
        <v>0</v>
      </c>
      <c r="AO322" t="str">
        <f t="shared" si="53"/>
        <v>9.10.---9.10.---9.10.</v>
      </c>
      <c r="AP322" t="str">
        <f t="shared" si="60"/>
        <v>Balkaninuunilintu</v>
      </c>
      <c r="AQ322" t="str">
        <f t="shared" si="61"/>
        <v>(9.10.---9.10.---9.10.)</v>
      </c>
    </row>
    <row r="323" spans="1:43" x14ac:dyDescent="0.2">
      <c r="A323" s="1"/>
      <c r="B323" s="9">
        <f t="shared" si="64"/>
        <v>317</v>
      </c>
      <c r="C323" s="10"/>
      <c r="D323" s="9" t="s">
        <v>314</v>
      </c>
      <c r="E323" s="10"/>
      <c r="F323" s="11">
        <v>43593</v>
      </c>
      <c r="G323" s="12">
        <v>43593</v>
      </c>
      <c r="H323" s="11">
        <v>43591</v>
      </c>
      <c r="I323" s="12">
        <v>43596</v>
      </c>
      <c r="J323" s="11">
        <v>43591</v>
      </c>
      <c r="K323" s="12">
        <v>43596</v>
      </c>
      <c r="L323" s="11">
        <v>43593</v>
      </c>
      <c r="M323" s="12">
        <v>43592</v>
      </c>
      <c r="N323" s="11">
        <v>43587</v>
      </c>
      <c r="O323" s="12">
        <v>43587</v>
      </c>
      <c r="P323" s="11">
        <v>43594</v>
      </c>
      <c r="Q323" s="12">
        <v>43598</v>
      </c>
      <c r="R323" s="11">
        <v>43590</v>
      </c>
      <c r="S323" s="12">
        <v>43596</v>
      </c>
      <c r="T323" s="11">
        <v>43596</v>
      </c>
      <c r="U323" s="12">
        <v>43592</v>
      </c>
      <c r="V323" s="11">
        <v>43588</v>
      </c>
      <c r="W323" s="12">
        <v>43585</v>
      </c>
      <c r="X323" s="11">
        <v>43594</v>
      </c>
      <c r="Y323" s="12">
        <v>43599</v>
      </c>
      <c r="Z323" s="11">
        <v>43593</v>
      </c>
      <c r="AA323" s="12">
        <v>43597</v>
      </c>
      <c r="AB323" s="11">
        <v>43595</v>
      </c>
      <c r="AC323" s="12">
        <v>43594</v>
      </c>
      <c r="AD323" s="34"/>
      <c r="AE323" s="33">
        <f t="shared" si="54"/>
        <v>43585</v>
      </c>
      <c r="AF323" s="33">
        <f t="shared" si="55"/>
        <v>43593</v>
      </c>
      <c r="AG323" s="33">
        <f t="shared" si="56"/>
        <v>43599</v>
      </c>
      <c r="AH323">
        <v>404</v>
      </c>
      <c r="AK323" s="36" t="str">
        <f t="shared" si="57"/>
        <v/>
      </c>
      <c r="AL323" t="str">
        <f t="shared" si="58"/>
        <v/>
      </c>
      <c r="AM323" t="s">
        <v>393</v>
      </c>
      <c r="AN323">
        <f t="shared" si="59"/>
        <v>14</v>
      </c>
      <c r="AO323" t="str">
        <f t="shared" si="53"/>
        <v>30.4.---8.5.---14.5.</v>
      </c>
      <c r="AP323" t="str">
        <f t="shared" si="60"/>
        <v>Sirittäjä</v>
      </c>
      <c r="AQ323" t="str">
        <f t="shared" si="61"/>
        <v>(30.4.---8.5.---14.5.)</v>
      </c>
    </row>
    <row r="324" spans="1:43" x14ac:dyDescent="0.2">
      <c r="A324" s="1"/>
      <c r="B324" s="9">
        <f t="shared" si="64"/>
        <v>318</v>
      </c>
      <c r="C324" s="10"/>
      <c r="D324" s="9" t="s">
        <v>315</v>
      </c>
      <c r="E324" s="10"/>
      <c r="F324" s="11">
        <v>43574</v>
      </c>
      <c r="G324" s="12">
        <v>43566</v>
      </c>
      <c r="H324" s="11">
        <v>43575</v>
      </c>
      <c r="I324" s="12">
        <v>43578</v>
      </c>
      <c r="J324" s="11">
        <v>43571</v>
      </c>
      <c r="K324" s="12">
        <v>43569</v>
      </c>
      <c r="L324" s="11">
        <v>43574</v>
      </c>
      <c r="M324" s="12">
        <v>43578</v>
      </c>
      <c r="N324" s="11">
        <v>43561</v>
      </c>
      <c r="O324" s="12">
        <v>43576</v>
      </c>
      <c r="P324" s="11">
        <v>43563</v>
      </c>
      <c r="Q324" s="12">
        <v>43574</v>
      </c>
      <c r="R324" s="11">
        <v>43578</v>
      </c>
      <c r="S324" s="12">
        <v>43575</v>
      </c>
      <c r="T324" s="11">
        <v>43573</v>
      </c>
      <c r="U324" s="12">
        <v>43574</v>
      </c>
      <c r="V324" s="11">
        <v>43564</v>
      </c>
      <c r="W324" s="12">
        <v>43578</v>
      </c>
      <c r="X324" s="11">
        <v>43560</v>
      </c>
      <c r="Y324" s="12">
        <v>43568</v>
      </c>
      <c r="Z324" s="11">
        <v>43562</v>
      </c>
      <c r="AA324" s="12">
        <v>43571</v>
      </c>
      <c r="AB324" s="11">
        <v>43574</v>
      </c>
      <c r="AC324" s="12">
        <v>43567</v>
      </c>
      <c r="AD324" s="34"/>
      <c r="AE324" s="33">
        <f t="shared" si="54"/>
        <v>43560</v>
      </c>
      <c r="AF324" s="33">
        <f t="shared" si="55"/>
        <v>43573.5</v>
      </c>
      <c r="AG324" s="33">
        <f t="shared" si="56"/>
        <v>43578</v>
      </c>
      <c r="AH324">
        <v>405</v>
      </c>
      <c r="AK324" s="36" t="str">
        <f t="shared" si="57"/>
        <v/>
      </c>
      <c r="AL324" t="str">
        <f t="shared" si="58"/>
        <v/>
      </c>
      <c r="AM324" t="s">
        <v>393</v>
      </c>
      <c r="AN324">
        <f t="shared" si="59"/>
        <v>18</v>
      </c>
      <c r="AO324" t="str">
        <f t="shared" ref="AO324:AO391" si="65">TEXT(AE324, "p.k.")  &amp; "---" &amp; TEXT(AF324, "p.k.")  &amp; "---" &amp; TEXT(AG324, "p.k.")</f>
        <v>5.4.---18.4.---23.4.</v>
      </c>
      <c r="AP324" t="str">
        <f t="shared" si="60"/>
        <v>Tiltaltti</v>
      </c>
      <c r="AQ324" t="str">
        <f t="shared" si="61"/>
        <v>(5.4.---18.4.---23.4.)</v>
      </c>
    </row>
    <row r="325" spans="1:43" x14ac:dyDescent="0.2">
      <c r="A325" s="1"/>
      <c r="B325" s="9">
        <f t="shared" si="64"/>
        <v>319</v>
      </c>
      <c r="C325" s="10"/>
      <c r="D325" s="9" t="s">
        <v>316</v>
      </c>
      <c r="E325" s="10"/>
      <c r="F325" s="11">
        <v>43579</v>
      </c>
      <c r="G325" s="12">
        <v>43582</v>
      </c>
      <c r="H325" s="11">
        <v>43582</v>
      </c>
      <c r="I325" s="12">
        <v>43583</v>
      </c>
      <c r="J325" s="11">
        <v>43582</v>
      </c>
      <c r="K325" s="12">
        <v>43583</v>
      </c>
      <c r="L325" s="11">
        <v>43582</v>
      </c>
      <c r="M325" s="12">
        <v>43589</v>
      </c>
      <c r="N325" s="11">
        <v>43582</v>
      </c>
      <c r="O325" s="12">
        <v>43585</v>
      </c>
      <c r="P325" s="11">
        <v>43584</v>
      </c>
      <c r="Q325" s="12">
        <v>43584</v>
      </c>
      <c r="R325" s="11">
        <v>43575</v>
      </c>
      <c r="S325" s="12">
        <v>43578</v>
      </c>
      <c r="T325" s="11">
        <v>43581</v>
      </c>
      <c r="U325" s="12">
        <v>43583</v>
      </c>
      <c r="V325" s="11">
        <v>43582</v>
      </c>
      <c r="W325" s="12">
        <v>43589</v>
      </c>
      <c r="X325" s="11">
        <v>43581</v>
      </c>
      <c r="Y325" s="12">
        <v>43581</v>
      </c>
      <c r="Z325" s="11">
        <v>43575</v>
      </c>
      <c r="AA325" s="12">
        <v>43589</v>
      </c>
      <c r="AB325" s="11">
        <v>43585</v>
      </c>
      <c r="AC325" s="12">
        <v>43581</v>
      </c>
      <c r="AD325" s="34"/>
      <c r="AE325" s="33">
        <f t="shared" ref="AE325:AE391" si="66">IF(SUM(F325:AC325)&gt;0,MIN(F325:AC325),"")</f>
        <v>43575</v>
      </c>
      <c r="AF325" s="33">
        <f t="shared" ref="AF325:AF391" si="67">IF(SUM(F325:AC325)&gt;0,MEDIAN(F325:AC325),"")</f>
        <v>43582</v>
      </c>
      <c r="AG325" s="33">
        <f t="shared" ref="AG325:AG391" si="68">IF(SUM(F325:AC325)&gt;0,MAX(F325:AC325),"")</f>
        <v>43589</v>
      </c>
      <c r="AH325">
        <v>407</v>
      </c>
      <c r="AK325" s="36" t="str">
        <f t="shared" ref="AK325:AK391" si="69">IF(AI325&lt;&gt;"",D325 &amp; "x" &amp; TEXT(AE325, "pp.kk.")  &amp; "2019x" &amp; TEXT(Z325, "pp.kk.") &amp; "2019","")</f>
        <v/>
      </c>
      <c r="AL325" t="str">
        <f t="shared" ref="AL325:AL388" si="70">IF(COUNTIF(F325:Z325,"&lt;01.03.2019")&gt;0,COUNTIF(F325:Z325,"&lt;01.03.2019"),"")</f>
        <v/>
      </c>
      <c r="AM325" t="s">
        <v>393</v>
      </c>
      <c r="AN325">
        <f t="shared" ref="AN325:AN391" si="71">AG325-AE325</f>
        <v>14</v>
      </c>
      <c r="AO325" t="str">
        <f t="shared" si="65"/>
        <v>20.4.---27.4.---4.5.</v>
      </c>
      <c r="AP325" t="str">
        <f t="shared" ref="AP325:AP391" si="72">D325</f>
        <v>Pajulintu</v>
      </c>
      <c r="AQ325" t="str">
        <f t="shared" ref="AQ325:AQ388" si="73">IF(AND(AM325&gt;0,AM325&lt;&gt;""),"(" &amp;AO325 &amp; ", " &amp; AM325 &amp; "/21)","(" &amp; AO325 &amp; ")")</f>
        <v>(20.4.---27.4.---4.5.)</v>
      </c>
    </row>
    <row r="326" spans="1:43" x14ac:dyDescent="0.2">
      <c r="A326" s="1"/>
      <c r="B326" s="9">
        <f t="shared" si="64"/>
        <v>320</v>
      </c>
      <c r="C326" s="10"/>
      <c r="D326" s="9" t="s">
        <v>317</v>
      </c>
      <c r="E326" s="10"/>
      <c r="F326" s="11"/>
      <c r="G326" s="12">
        <v>43466</v>
      </c>
      <c r="H326" s="11"/>
      <c r="I326" s="12">
        <v>43466</v>
      </c>
      <c r="J326" s="11">
        <v>43467</v>
      </c>
      <c r="K326" s="12">
        <v>43466</v>
      </c>
      <c r="L326" s="11">
        <v>43467</v>
      </c>
      <c r="M326" s="12">
        <v>43466</v>
      </c>
      <c r="N326" s="11">
        <v>43466</v>
      </c>
      <c r="O326" s="12">
        <v>43466</v>
      </c>
      <c r="P326" s="11">
        <v>43466</v>
      </c>
      <c r="Q326" s="12">
        <v>43466</v>
      </c>
      <c r="R326" s="11">
        <v>43466</v>
      </c>
      <c r="S326" s="12">
        <v>43466</v>
      </c>
      <c r="T326" s="11">
        <v>43466</v>
      </c>
      <c r="U326" s="12">
        <v>43466</v>
      </c>
      <c r="V326" s="11">
        <v>43466</v>
      </c>
      <c r="W326" s="12">
        <v>43466</v>
      </c>
      <c r="X326" s="11">
        <v>43466</v>
      </c>
      <c r="Y326" s="12">
        <v>43466</v>
      </c>
      <c r="Z326" s="11">
        <v>43466</v>
      </c>
      <c r="AA326" s="12">
        <v>43466</v>
      </c>
      <c r="AB326" s="11">
        <v>43466</v>
      </c>
      <c r="AC326" s="12">
        <v>43466</v>
      </c>
      <c r="AD326" s="34"/>
      <c r="AE326" s="33">
        <f t="shared" si="66"/>
        <v>43466</v>
      </c>
      <c r="AF326" s="33">
        <f t="shared" si="67"/>
        <v>43466</v>
      </c>
      <c r="AG326" s="33">
        <f t="shared" si="68"/>
        <v>43467</v>
      </c>
      <c r="AH326">
        <v>408</v>
      </c>
      <c r="AK326" s="36" t="str">
        <f t="shared" si="69"/>
        <v/>
      </c>
      <c r="AL326">
        <f t="shared" si="70"/>
        <v>19</v>
      </c>
      <c r="AM326">
        <v>19</v>
      </c>
      <c r="AN326">
        <f t="shared" si="71"/>
        <v>1</v>
      </c>
      <c r="AO326" t="str">
        <f t="shared" si="65"/>
        <v>1.1.---1.1.---2.1.</v>
      </c>
      <c r="AP326" t="str">
        <f t="shared" si="72"/>
        <v>Hippiäinen</v>
      </c>
      <c r="AQ326" t="str">
        <f t="shared" si="73"/>
        <v>(1.1.---1.1.---2.1., 19/21)</v>
      </c>
    </row>
    <row r="327" spans="1:43" x14ac:dyDescent="0.2">
      <c r="A327" s="1"/>
      <c r="B327" s="9">
        <f t="shared" si="64"/>
        <v>321</v>
      </c>
      <c r="C327" s="10"/>
      <c r="D327" s="23" t="s">
        <v>318</v>
      </c>
      <c r="E327" s="24"/>
      <c r="F327" s="11"/>
      <c r="G327" s="12"/>
      <c r="H327" s="11"/>
      <c r="I327" s="12"/>
      <c r="J327" s="11">
        <v>43619</v>
      </c>
      <c r="K327" s="12"/>
      <c r="L327" s="11"/>
      <c r="M327" s="12"/>
      <c r="N327" s="11"/>
      <c r="O327" s="12"/>
      <c r="P327" s="11"/>
      <c r="Q327" s="12"/>
      <c r="R327" s="11"/>
      <c r="S327" s="12"/>
      <c r="T327" s="11"/>
      <c r="U327" s="12"/>
      <c r="V327" s="11"/>
      <c r="W327" s="12"/>
      <c r="X327" s="11">
        <v>43763</v>
      </c>
      <c r="Y327" s="12"/>
      <c r="Z327" s="11"/>
      <c r="AA327" s="12"/>
      <c r="AB327" s="11"/>
      <c r="AC327" s="12" t="s">
        <v>393</v>
      </c>
      <c r="AD327" s="34"/>
      <c r="AE327" s="33">
        <f t="shared" si="66"/>
        <v>43619</v>
      </c>
      <c r="AF327" s="33">
        <f t="shared" si="67"/>
        <v>43691</v>
      </c>
      <c r="AG327" s="33">
        <f t="shared" si="68"/>
        <v>43763</v>
      </c>
      <c r="AH327">
        <v>409</v>
      </c>
      <c r="AK327" s="36" t="str">
        <f t="shared" si="69"/>
        <v/>
      </c>
      <c r="AL327" t="str">
        <f t="shared" si="70"/>
        <v/>
      </c>
      <c r="AM327" t="s">
        <v>393</v>
      </c>
      <c r="AN327">
        <f t="shared" si="71"/>
        <v>144</v>
      </c>
      <c r="AO327" t="str">
        <f t="shared" si="65"/>
        <v>3.6.---14.8.---25.10.</v>
      </c>
      <c r="AP327" t="str">
        <f t="shared" si="72"/>
        <v>Tulipäähippiäinen</v>
      </c>
      <c r="AQ327" t="str">
        <f t="shared" si="73"/>
        <v>(3.6.---14.8.---25.10.)</v>
      </c>
    </row>
    <row r="328" spans="1:43" x14ac:dyDescent="0.2">
      <c r="A328" s="1"/>
      <c r="B328" s="9">
        <f t="shared" si="64"/>
        <v>322</v>
      </c>
      <c r="C328" s="10"/>
      <c r="D328" s="9" t="s">
        <v>319</v>
      </c>
      <c r="E328" s="10"/>
      <c r="F328" s="11">
        <v>43602</v>
      </c>
      <c r="G328" s="12">
        <v>43600</v>
      </c>
      <c r="H328" s="11">
        <v>43597</v>
      </c>
      <c r="I328" s="12">
        <v>43595</v>
      </c>
      <c r="J328" s="11">
        <v>43592</v>
      </c>
      <c r="K328" s="12">
        <v>43604</v>
      </c>
      <c r="L328" s="11">
        <v>43591</v>
      </c>
      <c r="M328" s="12">
        <v>43591</v>
      </c>
      <c r="N328" s="11">
        <v>43592</v>
      </c>
      <c r="O328" s="12">
        <v>43595</v>
      </c>
      <c r="P328" s="11">
        <v>43598</v>
      </c>
      <c r="Q328" s="12">
        <v>43599</v>
      </c>
      <c r="R328" s="11">
        <v>43595</v>
      </c>
      <c r="S328" s="12">
        <v>43595</v>
      </c>
      <c r="T328" s="11">
        <v>43597</v>
      </c>
      <c r="U328" s="12">
        <v>43586</v>
      </c>
      <c r="V328" s="11">
        <v>43592</v>
      </c>
      <c r="W328" s="12">
        <v>43599</v>
      </c>
      <c r="X328" s="11">
        <v>43595</v>
      </c>
      <c r="Y328" s="12">
        <v>43598</v>
      </c>
      <c r="Z328" s="11">
        <v>43599</v>
      </c>
      <c r="AA328" s="12">
        <v>43597</v>
      </c>
      <c r="AB328" s="11">
        <v>43597</v>
      </c>
      <c r="AC328" s="12">
        <v>43597</v>
      </c>
      <c r="AD328" s="34"/>
      <c r="AE328" s="33">
        <f t="shared" si="66"/>
        <v>43586</v>
      </c>
      <c r="AF328" s="33">
        <f t="shared" si="67"/>
        <v>43597</v>
      </c>
      <c r="AG328" s="33">
        <f t="shared" si="68"/>
        <v>43604</v>
      </c>
      <c r="AH328">
        <v>410</v>
      </c>
      <c r="AK328" s="36" t="str">
        <f t="shared" si="69"/>
        <v/>
      </c>
      <c r="AL328" t="str">
        <f t="shared" si="70"/>
        <v/>
      </c>
      <c r="AM328" t="s">
        <v>393</v>
      </c>
      <c r="AN328">
        <f t="shared" si="71"/>
        <v>18</v>
      </c>
      <c r="AO328" t="str">
        <f t="shared" si="65"/>
        <v>1.5.---12.5.---19.5.</v>
      </c>
      <c r="AP328" t="str">
        <f t="shared" si="72"/>
        <v>Harmaasieppo</v>
      </c>
      <c r="AQ328" t="str">
        <f t="shared" si="73"/>
        <v>(1.5.---12.5.---19.5.)</v>
      </c>
    </row>
    <row r="329" spans="1:43" x14ac:dyDescent="0.2">
      <c r="A329" s="1"/>
      <c r="B329" s="9">
        <f t="shared" si="64"/>
        <v>323</v>
      </c>
      <c r="C329" s="10"/>
      <c r="D329" s="9" t="s">
        <v>320</v>
      </c>
      <c r="E329" s="10"/>
      <c r="F329" s="11">
        <v>43604</v>
      </c>
      <c r="G329" s="12">
        <v>43612</v>
      </c>
      <c r="H329" s="11">
        <v>43613</v>
      </c>
      <c r="I329" s="12">
        <v>43610</v>
      </c>
      <c r="J329" s="11">
        <v>43615</v>
      </c>
      <c r="K329" s="12">
        <v>43608</v>
      </c>
      <c r="L329" s="11">
        <v>43596</v>
      </c>
      <c r="M329" s="12">
        <v>43613</v>
      </c>
      <c r="N329" s="11">
        <v>43608</v>
      </c>
      <c r="O329" s="12">
        <v>43606</v>
      </c>
      <c r="P329" s="11">
        <v>43595</v>
      </c>
      <c r="Q329" s="12">
        <v>43613</v>
      </c>
      <c r="R329" s="11">
        <v>43599</v>
      </c>
      <c r="S329" s="12">
        <v>43599</v>
      </c>
      <c r="T329" s="11">
        <v>43606</v>
      </c>
      <c r="U329" s="12">
        <v>43595</v>
      </c>
      <c r="V329" s="11">
        <v>43594</v>
      </c>
      <c r="W329" s="12">
        <v>43608</v>
      </c>
      <c r="X329" s="11">
        <v>43594</v>
      </c>
      <c r="Y329" s="12">
        <v>43594</v>
      </c>
      <c r="Z329" s="11">
        <v>43602</v>
      </c>
      <c r="AA329" s="12">
        <v>43615</v>
      </c>
      <c r="AB329" s="11">
        <v>43598</v>
      </c>
      <c r="AC329" s="12">
        <v>43599</v>
      </c>
      <c r="AD329" s="34"/>
      <c r="AE329" s="33">
        <f t="shared" si="66"/>
        <v>43594</v>
      </c>
      <c r="AF329" s="33">
        <f t="shared" si="67"/>
        <v>43605</v>
      </c>
      <c r="AG329" s="33">
        <f t="shared" si="68"/>
        <v>43615</v>
      </c>
      <c r="AH329">
        <v>411</v>
      </c>
      <c r="AK329" s="36" t="str">
        <f t="shared" si="69"/>
        <v/>
      </c>
      <c r="AL329" t="str">
        <f t="shared" si="70"/>
        <v/>
      </c>
      <c r="AM329" t="s">
        <v>393</v>
      </c>
      <c r="AN329">
        <f t="shared" si="71"/>
        <v>21</v>
      </c>
      <c r="AO329" t="str">
        <f t="shared" si="65"/>
        <v>9.5.---20.5.---30.5.</v>
      </c>
      <c r="AP329" t="str">
        <f t="shared" si="72"/>
        <v>Pikkusieppo</v>
      </c>
      <c r="AQ329" t="str">
        <f t="shared" si="73"/>
        <v>(9.5.---20.5.---30.5.)</v>
      </c>
    </row>
    <row r="330" spans="1:43" x14ac:dyDescent="0.2">
      <c r="A330" s="1"/>
      <c r="B330" s="9">
        <f t="shared" si="64"/>
        <v>324</v>
      </c>
      <c r="C330" s="10"/>
      <c r="D330" s="9" t="s">
        <v>321</v>
      </c>
      <c r="E330" s="10"/>
      <c r="F330" s="11"/>
      <c r="G330" s="12"/>
      <c r="H330" s="11"/>
      <c r="I330" s="12"/>
      <c r="J330" s="11"/>
      <c r="K330" s="12"/>
      <c r="L330" s="11"/>
      <c r="M330" s="12"/>
      <c r="N330" s="11"/>
      <c r="O330" s="12"/>
      <c r="P330" s="11">
        <v>43601</v>
      </c>
      <c r="Q330" s="12"/>
      <c r="R330" s="11"/>
      <c r="S330" s="12"/>
      <c r="T330" s="11"/>
      <c r="U330" s="12">
        <v>43749</v>
      </c>
      <c r="V330" s="11"/>
      <c r="W330" s="12"/>
      <c r="X330" s="11">
        <v>43611</v>
      </c>
      <c r="Y330" s="12"/>
      <c r="Z330" s="11">
        <v>43619</v>
      </c>
      <c r="AA330" s="12"/>
      <c r="AB330" s="11"/>
      <c r="AC330" s="12" t="s">
        <v>393</v>
      </c>
      <c r="AD330" s="34"/>
      <c r="AE330" s="33">
        <f t="shared" si="66"/>
        <v>43601</v>
      </c>
      <c r="AF330" s="33">
        <f t="shared" si="67"/>
        <v>43615</v>
      </c>
      <c r="AG330" s="33">
        <f t="shared" si="68"/>
        <v>43749</v>
      </c>
      <c r="AH330">
        <v>413</v>
      </c>
      <c r="AK330" s="36" t="str">
        <f t="shared" si="69"/>
        <v/>
      </c>
      <c r="AL330" t="str">
        <f t="shared" si="70"/>
        <v/>
      </c>
      <c r="AM330" t="s">
        <v>393</v>
      </c>
      <c r="AN330">
        <f t="shared" si="71"/>
        <v>148</v>
      </c>
      <c r="AO330" t="str">
        <f t="shared" si="65"/>
        <v>16.5.---30.5.---11.10.</v>
      </c>
      <c r="AP330" t="str">
        <f t="shared" si="72"/>
        <v>Sepelsieppo</v>
      </c>
      <c r="AQ330" t="str">
        <f t="shared" si="73"/>
        <v>(16.5.---30.5.---11.10.)</v>
      </c>
    </row>
    <row r="331" spans="1:43" x14ac:dyDescent="0.2">
      <c r="A331" s="1"/>
      <c r="B331" s="9">
        <f t="shared" si="64"/>
        <v>325</v>
      </c>
      <c r="C331" s="10"/>
      <c r="D331" s="9" t="s">
        <v>322</v>
      </c>
      <c r="E331" s="10"/>
      <c r="F331" s="11">
        <v>43582</v>
      </c>
      <c r="G331" s="12">
        <v>43578</v>
      </c>
      <c r="H331" s="11">
        <v>43583</v>
      </c>
      <c r="I331" s="12">
        <v>43589</v>
      </c>
      <c r="J331" s="11">
        <v>43574</v>
      </c>
      <c r="K331" s="12">
        <v>43587</v>
      </c>
      <c r="L331" s="11">
        <v>43582</v>
      </c>
      <c r="M331" s="12">
        <v>43584</v>
      </c>
      <c r="N331" s="11">
        <v>43584</v>
      </c>
      <c r="O331" s="12">
        <v>43585</v>
      </c>
      <c r="P331" s="11">
        <v>43584</v>
      </c>
      <c r="Q331" s="12">
        <v>43578</v>
      </c>
      <c r="R331" s="11">
        <v>43575</v>
      </c>
      <c r="S331" s="12">
        <v>43579</v>
      </c>
      <c r="T331" s="11">
        <v>43583</v>
      </c>
      <c r="U331" s="12">
        <v>43583</v>
      </c>
      <c r="V331" s="11">
        <v>43575</v>
      </c>
      <c r="W331" s="12">
        <v>43584</v>
      </c>
      <c r="X331" s="11">
        <v>43580</v>
      </c>
      <c r="Y331" s="12">
        <v>43580</v>
      </c>
      <c r="Z331" s="11">
        <v>43585</v>
      </c>
      <c r="AA331" s="12">
        <v>43583</v>
      </c>
      <c r="AB331" s="11">
        <v>43586</v>
      </c>
      <c r="AC331" s="12">
        <v>43582</v>
      </c>
      <c r="AD331" s="34"/>
      <c r="AE331" s="33">
        <f t="shared" si="66"/>
        <v>43574</v>
      </c>
      <c r="AF331" s="33">
        <f t="shared" si="67"/>
        <v>43583</v>
      </c>
      <c r="AG331" s="33">
        <f t="shared" si="68"/>
        <v>43589</v>
      </c>
      <c r="AH331">
        <v>414</v>
      </c>
      <c r="AK331" s="36" t="str">
        <f t="shared" si="69"/>
        <v/>
      </c>
      <c r="AL331" t="str">
        <f t="shared" si="70"/>
        <v/>
      </c>
      <c r="AM331" t="s">
        <v>393</v>
      </c>
      <c r="AN331">
        <f t="shared" si="71"/>
        <v>15</v>
      </c>
      <c r="AO331" t="str">
        <f t="shared" si="65"/>
        <v>19.4.---28.4.---4.5.</v>
      </c>
      <c r="AP331" t="str">
        <f t="shared" si="72"/>
        <v>Kirjosieppo</v>
      </c>
      <c r="AQ331" t="str">
        <f t="shared" si="73"/>
        <v>(19.4.---28.4.---4.5.)</v>
      </c>
    </row>
    <row r="332" spans="1:43" x14ac:dyDescent="0.2">
      <c r="A332" s="1"/>
      <c r="B332" s="9">
        <f t="shared" si="64"/>
        <v>326</v>
      </c>
      <c r="C332" s="10"/>
      <c r="D332" s="9" t="s">
        <v>323</v>
      </c>
      <c r="E332" s="10"/>
      <c r="F332" s="11">
        <v>43482</v>
      </c>
      <c r="G332" s="12">
        <v>43490</v>
      </c>
      <c r="H332" s="11">
        <v>43482</v>
      </c>
      <c r="I332" s="12">
        <v>43552</v>
      </c>
      <c r="J332" s="11">
        <v>43466</v>
      </c>
      <c r="K332" s="12">
        <v>43532</v>
      </c>
      <c r="L332" s="11">
        <v>43475</v>
      </c>
      <c r="M332" s="12">
        <v>43471</v>
      </c>
      <c r="N332" s="11">
        <v>43477</v>
      </c>
      <c r="O332" s="12">
        <v>43467</v>
      </c>
      <c r="P332" s="11">
        <v>43476</v>
      </c>
      <c r="Q332" s="12">
        <v>43471</v>
      </c>
      <c r="R332" s="11">
        <v>43473</v>
      </c>
      <c r="S332" s="12">
        <v>43641</v>
      </c>
      <c r="T332" s="11"/>
      <c r="U332" s="12"/>
      <c r="V332" s="11">
        <v>43583</v>
      </c>
      <c r="W332" s="12"/>
      <c r="X332" s="11">
        <v>43815</v>
      </c>
      <c r="Y332" s="12">
        <v>43467</v>
      </c>
      <c r="Z332" s="11">
        <v>43557</v>
      </c>
      <c r="AA332" s="12">
        <v>43466</v>
      </c>
      <c r="AB332" s="11">
        <v>43524</v>
      </c>
      <c r="AC332" s="12">
        <v>43485</v>
      </c>
      <c r="AD332" s="34"/>
      <c r="AE332" s="33">
        <f t="shared" si="66"/>
        <v>43466</v>
      </c>
      <c r="AF332" s="33">
        <f t="shared" si="67"/>
        <v>43482</v>
      </c>
      <c r="AG332" s="33">
        <f t="shared" si="68"/>
        <v>43815</v>
      </c>
      <c r="AH332">
        <v>415</v>
      </c>
      <c r="AK332" s="36" t="str">
        <f t="shared" si="69"/>
        <v/>
      </c>
      <c r="AL332">
        <f t="shared" si="70"/>
        <v>12</v>
      </c>
      <c r="AM332">
        <v>12</v>
      </c>
      <c r="AN332">
        <f t="shared" si="71"/>
        <v>349</v>
      </c>
      <c r="AO332" t="str">
        <f t="shared" si="65"/>
        <v>1.1.---17.1.---16.12.</v>
      </c>
      <c r="AP332" t="str">
        <f t="shared" si="72"/>
        <v>Viiksitimali</v>
      </c>
      <c r="AQ332" t="str">
        <f t="shared" si="73"/>
        <v>(1.1.---17.1.---16.12., 12/21)</v>
      </c>
    </row>
    <row r="333" spans="1:43" x14ac:dyDescent="0.2">
      <c r="A333" s="1"/>
      <c r="B333" s="9">
        <f t="shared" si="64"/>
        <v>327</v>
      </c>
      <c r="C333" s="10"/>
      <c r="D333" s="9" t="s">
        <v>324</v>
      </c>
      <c r="E333" s="10"/>
      <c r="F333" s="11">
        <v>43466</v>
      </c>
      <c r="G333" s="12">
        <v>43466</v>
      </c>
      <c r="H333" s="11">
        <v>43477</v>
      </c>
      <c r="I333" s="12">
        <v>43469</v>
      </c>
      <c r="J333" s="11">
        <v>43468</v>
      </c>
      <c r="K333" s="12">
        <v>43466</v>
      </c>
      <c r="L333" s="11">
        <v>43466</v>
      </c>
      <c r="M333" s="12">
        <v>43466</v>
      </c>
      <c r="N333" s="11">
        <v>43466</v>
      </c>
      <c r="O333" s="12">
        <v>43466</v>
      </c>
      <c r="P333" s="11">
        <v>43466</v>
      </c>
      <c r="Q333" s="12">
        <v>43466</v>
      </c>
      <c r="R333" s="11">
        <v>43466</v>
      </c>
      <c r="S333" s="12">
        <v>43468</v>
      </c>
      <c r="T333" s="11">
        <v>43466</v>
      </c>
      <c r="U333" s="12">
        <v>43466</v>
      </c>
      <c r="V333" s="11">
        <v>43466</v>
      </c>
      <c r="W333" s="12">
        <v>43466</v>
      </c>
      <c r="X333" s="11">
        <v>43469</v>
      </c>
      <c r="Y333" s="12">
        <v>43467</v>
      </c>
      <c r="Z333" s="11">
        <v>43466</v>
      </c>
      <c r="AA333" s="12">
        <v>43468</v>
      </c>
      <c r="AB333" s="11">
        <v>43468</v>
      </c>
      <c r="AC333" s="12">
        <v>43479</v>
      </c>
      <c r="AD333" s="34"/>
      <c r="AE333" s="33">
        <f t="shared" si="66"/>
        <v>43466</v>
      </c>
      <c r="AF333" s="33">
        <f t="shared" si="67"/>
        <v>43466</v>
      </c>
      <c r="AG333" s="33">
        <f t="shared" si="68"/>
        <v>43479</v>
      </c>
      <c r="AH333">
        <v>416</v>
      </c>
      <c r="AK333" s="36" t="str">
        <f t="shared" si="69"/>
        <v/>
      </c>
      <c r="AL333">
        <f t="shared" si="70"/>
        <v>21</v>
      </c>
      <c r="AM333">
        <v>21</v>
      </c>
      <c r="AN333">
        <f t="shared" si="71"/>
        <v>13</v>
      </c>
      <c r="AO333" t="str">
        <f t="shared" si="65"/>
        <v>1.1.---1.1.---14.1.</v>
      </c>
      <c r="AP333" t="str">
        <f t="shared" si="72"/>
        <v>Pyrstötiainen</v>
      </c>
      <c r="AQ333" t="str">
        <f t="shared" si="73"/>
        <v>(1.1.---1.1.---14.1., 21/21)</v>
      </c>
    </row>
    <row r="334" spans="1:43" x14ac:dyDescent="0.2">
      <c r="A334" s="1"/>
      <c r="B334" s="9">
        <f t="shared" si="64"/>
        <v>328</v>
      </c>
      <c r="C334" s="10"/>
      <c r="D334" s="15" t="s">
        <v>325</v>
      </c>
      <c r="E334" s="16"/>
      <c r="F334" s="11"/>
      <c r="G334" s="12"/>
      <c r="H334" s="11"/>
      <c r="I334" s="12"/>
      <c r="J334" s="11"/>
      <c r="K334" s="12">
        <v>43788</v>
      </c>
      <c r="L334" s="11">
        <v>43805</v>
      </c>
      <c r="M334" s="12">
        <v>43466</v>
      </c>
      <c r="N334" s="11"/>
      <c r="O334" s="12">
        <v>43798</v>
      </c>
      <c r="P334" s="11">
        <v>43495</v>
      </c>
      <c r="Q334" s="12"/>
      <c r="R334" s="11"/>
      <c r="S334" s="12"/>
      <c r="T334" s="11"/>
      <c r="U334" s="12"/>
      <c r="V334" s="11"/>
      <c r="W334" s="12">
        <v>43569</v>
      </c>
      <c r="X334" s="11"/>
      <c r="Y334" s="12"/>
      <c r="Z334" s="11"/>
      <c r="AA334" s="12"/>
      <c r="AB334" s="11"/>
      <c r="AC334" s="12" t="s">
        <v>393</v>
      </c>
      <c r="AD334" s="34"/>
      <c r="AE334" s="33">
        <f t="shared" si="66"/>
        <v>43466</v>
      </c>
      <c r="AF334" s="33">
        <f t="shared" si="67"/>
        <v>43678.5</v>
      </c>
      <c r="AG334" s="33">
        <f t="shared" si="68"/>
        <v>43805</v>
      </c>
      <c r="AH334">
        <v>417</v>
      </c>
      <c r="AK334" s="36" t="str">
        <f t="shared" si="69"/>
        <v/>
      </c>
      <c r="AL334">
        <f t="shared" si="70"/>
        <v>2</v>
      </c>
      <c r="AM334">
        <v>2</v>
      </c>
      <c r="AN334">
        <f t="shared" si="71"/>
        <v>339</v>
      </c>
      <c r="AO334" t="str">
        <f t="shared" si="65"/>
        <v>1.1.---1.8.---6.12.</v>
      </c>
      <c r="AP334" t="str">
        <f t="shared" si="72"/>
        <v>Valkopäätiainen</v>
      </c>
      <c r="AQ334" t="str">
        <f t="shared" si="73"/>
        <v>(1.1.---1.8.---6.12., 2/21)</v>
      </c>
    </row>
    <row r="335" spans="1:43" x14ac:dyDescent="0.2">
      <c r="A335" s="1"/>
      <c r="B335" s="9">
        <f t="shared" si="64"/>
        <v>329</v>
      </c>
      <c r="C335" s="10"/>
      <c r="D335" s="9" t="s">
        <v>326</v>
      </c>
      <c r="E335" s="10"/>
      <c r="F335" s="11"/>
      <c r="G335" s="12"/>
      <c r="H335" s="11"/>
      <c r="I335" s="12">
        <v>43466</v>
      </c>
      <c r="J335" s="11">
        <v>43466</v>
      </c>
      <c r="K335" s="12">
        <v>43466</v>
      </c>
      <c r="L335" s="11">
        <v>43466</v>
      </c>
      <c r="M335" s="12">
        <v>43466</v>
      </c>
      <c r="N335" s="11">
        <v>43466</v>
      </c>
      <c r="O335" s="12">
        <v>43466</v>
      </c>
      <c r="P335" s="11">
        <v>43466</v>
      </c>
      <c r="Q335" s="12">
        <v>43466</v>
      </c>
      <c r="R335" s="11">
        <v>43466</v>
      </c>
      <c r="S335" s="12">
        <v>43466</v>
      </c>
      <c r="T335" s="11">
        <v>43466</v>
      </c>
      <c r="U335" s="12">
        <v>43466</v>
      </c>
      <c r="V335" s="11">
        <v>43466</v>
      </c>
      <c r="W335" s="12">
        <v>43466</v>
      </c>
      <c r="X335" s="11">
        <v>43466</v>
      </c>
      <c r="Y335" s="12">
        <v>43466</v>
      </c>
      <c r="Z335" s="11">
        <v>43466</v>
      </c>
      <c r="AA335" s="12">
        <v>43466</v>
      </c>
      <c r="AB335" s="11">
        <v>43466</v>
      </c>
      <c r="AC335" s="12">
        <v>43466</v>
      </c>
      <c r="AD335" s="34"/>
      <c r="AE335" s="33">
        <f t="shared" si="66"/>
        <v>43466</v>
      </c>
      <c r="AF335" s="33">
        <f t="shared" si="67"/>
        <v>43466</v>
      </c>
      <c r="AG335" s="33">
        <f t="shared" si="68"/>
        <v>43466</v>
      </c>
      <c r="AH335">
        <v>418</v>
      </c>
      <c r="AK335" s="36" t="str">
        <f t="shared" si="69"/>
        <v/>
      </c>
      <c r="AL335">
        <f t="shared" si="70"/>
        <v>18</v>
      </c>
      <c r="AM335">
        <v>18</v>
      </c>
      <c r="AN335">
        <f t="shared" si="71"/>
        <v>0</v>
      </c>
      <c r="AO335" t="str">
        <f t="shared" si="65"/>
        <v>1.1.---1.1.---1.1.</v>
      </c>
      <c r="AP335" t="str">
        <f t="shared" si="72"/>
        <v>Sinitiainen</v>
      </c>
      <c r="AQ335" t="str">
        <f t="shared" si="73"/>
        <v>(1.1.---1.1.---1.1., 18/21)</v>
      </c>
    </row>
    <row r="336" spans="1:43" x14ac:dyDescent="0.2">
      <c r="A336" s="1"/>
      <c r="B336" s="9">
        <f t="shared" si="64"/>
        <v>330</v>
      </c>
      <c r="C336" s="10"/>
      <c r="D336" s="9" t="s">
        <v>327</v>
      </c>
      <c r="E336" s="10"/>
      <c r="F336" s="11"/>
      <c r="G336" s="12"/>
      <c r="H336" s="11"/>
      <c r="I336" s="12">
        <v>43466</v>
      </c>
      <c r="J336" s="11">
        <v>43466</v>
      </c>
      <c r="K336" s="12">
        <v>43466</v>
      </c>
      <c r="L336" s="11">
        <v>43466</v>
      </c>
      <c r="M336" s="12">
        <v>43466</v>
      </c>
      <c r="N336" s="11">
        <v>43466</v>
      </c>
      <c r="O336" s="12">
        <v>43466</v>
      </c>
      <c r="P336" s="11">
        <v>43466</v>
      </c>
      <c r="Q336" s="12">
        <v>43466</v>
      </c>
      <c r="R336" s="11">
        <v>43466</v>
      </c>
      <c r="S336" s="12">
        <v>43466</v>
      </c>
      <c r="T336" s="11">
        <v>43466</v>
      </c>
      <c r="U336" s="12">
        <v>43466</v>
      </c>
      <c r="V336" s="11">
        <v>43466</v>
      </c>
      <c r="W336" s="12">
        <v>43466</v>
      </c>
      <c r="X336" s="11">
        <v>43466</v>
      </c>
      <c r="Y336" s="12">
        <v>43466</v>
      </c>
      <c r="Z336" s="11">
        <v>43466</v>
      </c>
      <c r="AA336" s="12">
        <v>43466</v>
      </c>
      <c r="AB336" s="11">
        <v>43466</v>
      </c>
      <c r="AC336" s="12">
        <v>43466</v>
      </c>
      <c r="AD336" s="34"/>
      <c r="AE336" s="33">
        <f t="shared" si="66"/>
        <v>43466</v>
      </c>
      <c r="AF336" s="33">
        <f t="shared" si="67"/>
        <v>43466</v>
      </c>
      <c r="AG336" s="33">
        <f t="shared" si="68"/>
        <v>43466</v>
      </c>
      <c r="AH336">
        <v>419</v>
      </c>
      <c r="AK336" s="36" t="str">
        <f t="shared" si="69"/>
        <v/>
      </c>
      <c r="AL336">
        <f t="shared" si="70"/>
        <v>18</v>
      </c>
      <c r="AM336">
        <v>18</v>
      </c>
      <c r="AN336">
        <f t="shared" si="71"/>
        <v>0</v>
      </c>
      <c r="AO336" t="str">
        <f t="shared" si="65"/>
        <v>1.1.---1.1.---1.1.</v>
      </c>
      <c r="AP336" t="str">
        <f t="shared" si="72"/>
        <v>Talitiainen</v>
      </c>
      <c r="AQ336" t="str">
        <f t="shared" si="73"/>
        <v>(1.1.---1.1.---1.1., 18/21)</v>
      </c>
    </row>
    <row r="337" spans="1:43" x14ac:dyDescent="0.2">
      <c r="A337" s="1"/>
      <c r="B337" s="9">
        <f t="shared" si="64"/>
        <v>331</v>
      </c>
      <c r="C337" s="10"/>
      <c r="D337" s="9" t="s">
        <v>328</v>
      </c>
      <c r="E337" s="10"/>
      <c r="F337" s="11"/>
      <c r="G337" s="12"/>
      <c r="H337" s="11"/>
      <c r="I337" s="12">
        <v>43466</v>
      </c>
      <c r="J337" s="11">
        <v>43466</v>
      </c>
      <c r="K337" s="12">
        <v>43466</v>
      </c>
      <c r="L337" s="11">
        <v>43466</v>
      </c>
      <c r="M337" s="12">
        <v>43466</v>
      </c>
      <c r="N337" s="11">
        <v>43466</v>
      </c>
      <c r="O337" s="12">
        <v>43466</v>
      </c>
      <c r="P337" s="11">
        <v>43466</v>
      </c>
      <c r="Q337" s="12">
        <v>43466</v>
      </c>
      <c r="R337" s="11">
        <v>43466</v>
      </c>
      <c r="S337" s="12">
        <v>43466</v>
      </c>
      <c r="T337" s="11">
        <v>43466</v>
      </c>
      <c r="U337" s="12">
        <v>43466</v>
      </c>
      <c r="V337" s="11">
        <v>43466</v>
      </c>
      <c r="W337" s="12">
        <v>43466</v>
      </c>
      <c r="X337" s="11">
        <v>43466</v>
      </c>
      <c r="Y337" s="12">
        <v>43466</v>
      </c>
      <c r="Z337" s="11">
        <v>43466</v>
      </c>
      <c r="AA337" s="12">
        <v>43466</v>
      </c>
      <c r="AB337" s="11">
        <v>43466</v>
      </c>
      <c r="AC337" s="12">
        <v>43466</v>
      </c>
      <c r="AD337" s="34"/>
      <c r="AE337" s="33">
        <f t="shared" si="66"/>
        <v>43466</v>
      </c>
      <c r="AF337" s="33">
        <f t="shared" si="67"/>
        <v>43466</v>
      </c>
      <c r="AG337" s="33">
        <f t="shared" si="68"/>
        <v>43466</v>
      </c>
      <c r="AH337">
        <v>420</v>
      </c>
      <c r="AK337" s="36" t="str">
        <f t="shared" si="69"/>
        <v/>
      </c>
      <c r="AL337">
        <f t="shared" si="70"/>
        <v>18</v>
      </c>
      <c r="AM337">
        <v>18</v>
      </c>
      <c r="AN337">
        <f t="shared" si="71"/>
        <v>0</v>
      </c>
      <c r="AO337" t="str">
        <f t="shared" si="65"/>
        <v>1.1.---1.1.---1.1.</v>
      </c>
      <c r="AP337" t="str">
        <f t="shared" si="72"/>
        <v>Kuusitiainen</v>
      </c>
      <c r="AQ337" t="str">
        <f t="shared" si="73"/>
        <v>(1.1.---1.1.---1.1., 18/21)</v>
      </c>
    </row>
    <row r="338" spans="1:43" x14ac:dyDescent="0.2">
      <c r="A338" s="1"/>
      <c r="B338" s="9">
        <f t="shared" si="64"/>
        <v>332</v>
      </c>
      <c r="C338" s="10"/>
      <c r="D338" s="9" t="s">
        <v>329</v>
      </c>
      <c r="E338" s="10"/>
      <c r="F338" s="11"/>
      <c r="G338" s="12"/>
      <c r="H338" s="11"/>
      <c r="I338" s="12">
        <v>43466</v>
      </c>
      <c r="J338" s="11">
        <v>43466</v>
      </c>
      <c r="K338" s="12">
        <v>43466</v>
      </c>
      <c r="L338" s="11">
        <v>43466</v>
      </c>
      <c r="M338" s="12">
        <v>43466</v>
      </c>
      <c r="N338" s="11">
        <v>43466</v>
      </c>
      <c r="O338" s="12">
        <v>43466</v>
      </c>
      <c r="P338" s="11">
        <v>43466</v>
      </c>
      <c r="Q338" s="12">
        <v>43466</v>
      </c>
      <c r="R338" s="11">
        <v>43466</v>
      </c>
      <c r="S338" s="12">
        <v>43466</v>
      </c>
      <c r="T338" s="11">
        <v>43466</v>
      </c>
      <c r="U338" s="12">
        <v>43466</v>
      </c>
      <c r="V338" s="11">
        <v>43466</v>
      </c>
      <c r="W338" s="12">
        <v>43466</v>
      </c>
      <c r="X338" s="11">
        <v>43466</v>
      </c>
      <c r="Y338" s="12">
        <v>43466</v>
      </c>
      <c r="Z338" s="11">
        <v>43466</v>
      </c>
      <c r="AA338" s="12">
        <v>43466</v>
      </c>
      <c r="AB338" s="11">
        <v>43466</v>
      </c>
      <c r="AC338" s="12">
        <v>43466</v>
      </c>
      <c r="AD338" s="34"/>
      <c r="AE338" s="33">
        <f t="shared" si="66"/>
        <v>43466</v>
      </c>
      <c r="AF338" s="33">
        <f t="shared" si="67"/>
        <v>43466</v>
      </c>
      <c r="AG338" s="33">
        <f t="shared" si="68"/>
        <v>43466</v>
      </c>
      <c r="AH338">
        <v>421</v>
      </c>
      <c r="AK338" s="36" t="str">
        <f t="shared" si="69"/>
        <v/>
      </c>
      <c r="AL338">
        <f t="shared" si="70"/>
        <v>18</v>
      </c>
      <c r="AM338">
        <v>18</v>
      </c>
      <c r="AN338">
        <f t="shared" si="71"/>
        <v>0</v>
      </c>
      <c r="AO338" t="str">
        <f t="shared" si="65"/>
        <v>1.1.---1.1.---1.1.</v>
      </c>
      <c r="AP338" t="str">
        <f t="shared" si="72"/>
        <v>Töyhtötiainen</v>
      </c>
      <c r="AQ338" t="str">
        <f t="shared" si="73"/>
        <v>(1.1.---1.1.---1.1., 18/21)</v>
      </c>
    </row>
    <row r="339" spans="1:43" x14ac:dyDescent="0.2">
      <c r="A339" s="1"/>
      <c r="B339" s="9">
        <f t="shared" si="64"/>
        <v>333</v>
      </c>
      <c r="C339" s="10"/>
      <c r="D339" s="15" t="s">
        <v>330</v>
      </c>
      <c r="E339" s="16"/>
      <c r="F339" s="11"/>
      <c r="G339" s="12"/>
      <c r="H339" s="11"/>
      <c r="I339" s="12"/>
      <c r="J339" s="11"/>
      <c r="K339" s="12"/>
      <c r="L339" s="11"/>
      <c r="M339" s="12"/>
      <c r="N339" s="11"/>
      <c r="O339" s="12"/>
      <c r="P339" s="11">
        <v>43739</v>
      </c>
      <c r="Q339" s="12">
        <v>43474</v>
      </c>
      <c r="R339" s="11"/>
      <c r="S339" s="12"/>
      <c r="T339" s="11">
        <v>43765</v>
      </c>
      <c r="U339" s="12"/>
      <c r="V339" s="11">
        <v>43473</v>
      </c>
      <c r="W339" s="12">
        <v>43466</v>
      </c>
      <c r="X339" s="11"/>
      <c r="Y339" s="12"/>
      <c r="Z339" s="11"/>
      <c r="AA339" s="12"/>
      <c r="AB339" s="11"/>
      <c r="AC339" s="12" t="s">
        <v>393</v>
      </c>
      <c r="AD339" s="34"/>
      <c r="AE339" s="33">
        <f t="shared" si="66"/>
        <v>43466</v>
      </c>
      <c r="AF339" s="33">
        <f t="shared" si="67"/>
        <v>43474</v>
      </c>
      <c r="AG339" s="33">
        <f t="shared" si="68"/>
        <v>43765</v>
      </c>
      <c r="AH339">
        <v>422</v>
      </c>
      <c r="AK339" s="36" t="str">
        <f t="shared" si="69"/>
        <v/>
      </c>
      <c r="AL339">
        <f t="shared" si="70"/>
        <v>3</v>
      </c>
      <c r="AM339">
        <v>3</v>
      </c>
      <c r="AN339">
        <f t="shared" si="71"/>
        <v>299</v>
      </c>
      <c r="AO339" t="str">
        <f t="shared" si="65"/>
        <v>1.1.---9.1.---27.10.</v>
      </c>
      <c r="AP339" t="str">
        <f t="shared" si="72"/>
        <v>Viitatiainen</v>
      </c>
      <c r="AQ339" t="str">
        <f t="shared" si="73"/>
        <v>(1.1.---9.1.---27.10., 3/21)</v>
      </c>
    </row>
    <row r="340" spans="1:43" x14ac:dyDescent="0.2">
      <c r="A340" s="1"/>
      <c r="B340" s="9">
        <f t="shared" si="64"/>
        <v>334</v>
      </c>
      <c r="C340" s="10"/>
      <c r="D340" s="9" t="s">
        <v>331</v>
      </c>
      <c r="E340" s="10"/>
      <c r="F340" s="11"/>
      <c r="G340" s="12"/>
      <c r="H340" s="11"/>
      <c r="I340" s="12">
        <v>43466</v>
      </c>
      <c r="J340" s="11">
        <v>43466</v>
      </c>
      <c r="K340" s="12">
        <v>43466</v>
      </c>
      <c r="L340" s="11">
        <v>43466</v>
      </c>
      <c r="M340" s="12">
        <v>43466</v>
      </c>
      <c r="N340" s="11">
        <v>43466</v>
      </c>
      <c r="O340" s="12">
        <v>43466</v>
      </c>
      <c r="P340" s="11">
        <v>43466</v>
      </c>
      <c r="Q340" s="12">
        <v>43466</v>
      </c>
      <c r="R340" s="11">
        <v>43466</v>
      </c>
      <c r="S340" s="12">
        <v>43466</v>
      </c>
      <c r="T340" s="11">
        <v>43466</v>
      </c>
      <c r="U340" s="12">
        <v>43466</v>
      </c>
      <c r="V340" s="11">
        <v>43466</v>
      </c>
      <c r="W340" s="12">
        <v>43466</v>
      </c>
      <c r="X340" s="11">
        <v>43466</v>
      </c>
      <c r="Y340" s="12">
        <v>43466</v>
      </c>
      <c r="Z340" s="11">
        <v>43466</v>
      </c>
      <c r="AA340" s="12">
        <v>43466</v>
      </c>
      <c r="AB340" s="11">
        <v>43466</v>
      </c>
      <c r="AC340" s="12">
        <v>43466</v>
      </c>
      <c r="AD340" s="34"/>
      <c r="AE340" s="33">
        <f t="shared" si="66"/>
        <v>43466</v>
      </c>
      <c r="AF340" s="33">
        <f t="shared" si="67"/>
        <v>43466</v>
      </c>
      <c r="AG340" s="33">
        <f t="shared" si="68"/>
        <v>43466</v>
      </c>
      <c r="AH340">
        <v>423</v>
      </c>
      <c r="AK340" s="36" t="str">
        <f t="shared" si="69"/>
        <v/>
      </c>
      <c r="AL340">
        <f t="shared" si="70"/>
        <v>18</v>
      </c>
      <c r="AM340">
        <v>18</v>
      </c>
      <c r="AN340">
        <f t="shared" si="71"/>
        <v>0</v>
      </c>
      <c r="AO340" t="str">
        <f t="shared" si="65"/>
        <v>1.1.---1.1.---1.1.</v>
      </c>
      <c r="AP340" t="str">
        <f t="shared" si="72"/>
        <v>Hömötiainen</v>
      </c>
      <c r="AQ340" t="str">
        <f t="shared" si="73"/>
        <v>(1.1.---1.1.---1.1., 18/21)</v>
      </c>
    </row>
    <row r="341" spans="1:43" x14ac:dyDescent="0.2">
      <c r="A341" s="1"/>
      <c r="B341" s="9">
        <f t="shared" si="64"/>
        <v>335</v>
      </c>
      <c r="C341" s="10"/>
      <c r="D341" s="9" t="s">
        <v>332</v>
      </c>
      <c r="E341" s="10"/>
      <c r="F341" s="11">
        <v>43724</v>
      </c>
      <c r="G341" s="12">
        <v>43466</v>
      </c>
      <c r="H341" s="11">
        <v>43471</v>
      </c>
      <c r="I341" s="12">
        <v>43473</v>
      </c>
      <c r="J341" s="11">
        <v>43466</v>
      </c>
      <c r="K341" s="12">
        <v>43466</v>
      </c>
      <c r="L341" s="11">
        <v>43466</v>
      </c>
      <c r="M341" s="12">
        <v>43466</v>
      </c>
      <c r="N341" s="11">
        <v>43470</v>
      </c>
      <c r="O341" s="12">
        <v>43476</v>
      </c>
      <c r="P341" s="11">
        <v>43467</v>
      </c>
      <c r="Q341" s="12">
        <v>43466</v>
      </c>
      <c r="R341" s="11">
        <v>43466</v>
      </c>
      <c r="S341" s="12">
        <v>43466</v>
      </c>
      <c r="T341" s="11">
        <v>43466</v>
      </c>
      <c r="U341" s="12">
        <v>43466</v>
      </c>
      <c r="V341" s="11">
        <v>43469</v>
      </c>
      <c r="W341" s="12">
        <v>43468</v>
      </c>
      <c r="X341" s="11">
        <v>43466</v>
      </c>
      <c r="Y341" s="12">
        <v>43468</v>
      </c>
      <c r="Z341" s="11">
        <v>43466</v>
      </c>
      <c r="AA341" s="12">
        <v>43466</v>
      </c>
      <c r="AB341" s="11">
        <v>43466</v>
      </c>
      <c r="AC341" s="12">
        <v>43466</v>
      </c>
      <c r="AD341" s="34"/>
      <c r="AE341" s="33">
        <f t="shared" si="66"/>
        <v>43466</v>
      </c>
      <c r="AF341" s="33">
        <f t="shared" si="67"/>
        <v>43466</v>
      </c>
      <c r="AG341" s="33">
        <f t="shared" si="68"/>
        <v>43724</v>
      </c>
      <c r="AH341">
        <v>424</v>
      </c>
      <c r="AK341" s="36" t="str">
        <f t="shared" si="69"/>
        <v/>
      </c>
      <c r="AL341">
        <f t="shared" si="70"/>
        <v>20</v>
      </c>
      <c r="AM341">
        <v>20</v>
      </c>
      <c r="AN341">
        <f t="shared" si="71"/>
        <v>258</v>
      </c>
      <c r="AO341" t="str">
        <f t="shared" si="65"/>
        <v>1.1.---1.1.---16.9.</v>
      </c>
      <c r="AP341" t="str">
        <f t="shared" si="72"/>
        <v>Lapintiainen</v>
      </c>
      <c r="AQ341" t="str">
        <f t="shared" si="73"/>
        <v>(1.1.---1.1.---16.9., 20/21)</v>
      </c>
    </row>
    <row r="342" spans="1:43" x14ac:dyDescent="0.2">
      <c r="A342" s="1"/>
      <c r="B342" s="9">
        <f t="shared" si="64"/>
        <v>336</v>
      </c>
      <c r="C342" s="10"/>
      <c r="D342" s="9" t="s">
        <v>333</v>
      </c>
      <c r="E342" s="10"/>
      <c r="F342" s="11">
        <v>43469</v>
      </c>
      <c r="G342" s="12">
        <v>43720</v>
      </c>
      <c r="H342" s="11">
        <v>43470</v>
      </c>
      <c r="I342" s="12">
        <v>43466</v>
      </c>
      <c r="J342" s="11">
        <v>43466</v>
      </c>
      <c r="K342" s="12">
        <v>43466</v>
      </c>
      <c r="L342" s="11">
        <v>43744</v>
      </c>
      <c r="M342" s="12">
        <v>43466</v>
      </c>
      <c r="N342" s="11">
        <v>43469</v>
      </c>
      <c r="O342" s="12">
        <v>43466</v>
      </c>
      <c r="P342" s="11">
        <v>43466</v>
      </c>
      <c r="Q342" s="12">
        <v>43494</v>
      </c>
      <c r="R342" s="11">
        <v>43753</v>
      </c>
      <c r="S342" s="12">
        <v>43745</v>
      </c>
      <c r="T342" s="11">
        <v>43466</v>
      </c>
      <c r="U342" s="12">
        <v>43466</v>
      </c>
      <c r="V342" s="11">
        <v>43466</v>
      </c>
      <c r="W342" s="12">
        <v>43466</v>
      </c>
      <c r="X342" s="11">
        <v>43493</v>
      </c>
      <c r="Y342" s="12">
        <v>43483</v>
      </c>
      <c r="Z342" s="11">
        <v>43466</v>
      </c>
      <c r="AA342" s="12">
        <v>43466</v>
      </c>
      <c r="AB342" s="11">
        <v>43466</v>
      </c>
      <c r="AC342" s="12">
        <v>43594</v>
      </c>
      <c r="AD342" s="34"/>
      <c r="AE342" s="33">
        <f t="shared" si="66"/>
        <v>43466</v>
      </c>
      <c r="AF342" s="33">
        <f t="shared" si="67"/>
        <v>43466</v>
      </c>
      <c r="AG342" s="33">
        <f t="shared" si="68"/>
        <v>43753</v>
      </c>
      <c r="AH342">
        <v>425</v>
      </c>
      <c r="AK342" s="36" t="str">
        <f t="shared" si="69"/>
        <v/>
      </c>
      <c r="AL342">
        <f t="shared" si="70"/>
        <v>17</v>
      </c>
      <c r="AM342">
        <v>17</v>
      </c>
      <c r="AN342">
        <f t="shared" si="71"/>
        <v>287</v>
      </c>
      <c r="AO342" t="str">
        <f t="shared" si="65"/>
        <v>1.1.---1.1.---15.10.</v>
      </c>
      <c r="AP342" t="str">
        <f t="shared" si="72"/>
        <v>Pähkinänakkeli</v>
      </c>
      <c r="AQ342" t="str">
        <f t="shared" si="73"/>
        <v>(1.1.---1.1.---15.10., 17/21)</v>
      </c>
    </row>
    <row r="343" spans="1:43" x14ac:dyDescent="0.2">
      <c r="A343" s="1"/>
      <c r="B343" s="9">
        <f t="shared" si="64"/>
        <v>337</v>
      </c>
      <c r="C343" s="10"/>
      <c r="D343" s="9" t="s">
        <v>334</v>
      </c>
      <c r="E343" s="10"/>
      <c r="F343" s="11"/>
      <c r="G343" s="12"/>
      <c r="H343" s="11"/>
      <c r="I343" s="12">
        <v>43466</v>
      </c>
      <c r="J343" s="11">
        <v>43466</v>
      </c>
      <c r="K343" s="12">
        <v>43466</v>
      </c>
      <c r="L343" s="11">
        <v>43466</v>
      </c>
      <c r="M343" s="12">
        <v>43466</v>
      </c>
      <c r="N343" s="11">
        <v>43466</v>
      </c>
      <c r="O343" s="12">
        <v>43466</v>
      </c>
      <c r="P343" s="11">
        <v>43466</v>
      </c>
      <c r="Q343" s="12">
        <v>43466</v>
      </c>
      <c r="R343" s="11">
        <v>43466</v>
      </c>
      <c r="S343" s="12">
        <v>43466</v>
      </c>
      <c r="T343" s="11">
        <v>43466</v>
      </c>
      <c r="U343" s="12">
        <v>43466</v>
      </c>
      <c r="V343" s="11">
        <v>43466</v>
      </c>
      <c r="W343" s="12">
        <v>43466</v>
      </c>
      <c r="X343" s="11">
        <v>43466</v>
      </c>
      <c r="Y343" s="12">
        <v>43466</v>
      </c>
      <c r="Z343" s="11">
        <v>43466</v>
      </c>
      <c r="AA343" s="12">
        <v>43466</v>
      </c>
      <c r="AB343" s="11">
        <v>43466</v>
      </c>
      <c r="AC343" s="12">
        <v>43466</v>
      </c>
      <c r="AD343" s="34"/>
      <c r="AE343" s="33">
        <f t="shared" si="66"/>
        <v>43466</v>
      </c>
      <c r="AF343" s="33">
        <f t="shared" si="67"/>
        <v>43466</v>
      </c>
      <c r="AG343" s="33">
        <f t="shared" si="68"/>
        <v>43466</v>
      </c>
      <c r="AH343">
        <v>426</v>
      </c>
      <c r="AK343" s="36" t="str">
        <f t="shared" si="69"/>
        <v/>
      </c>
      <c r="AL343">
        <f t="shared" si="70"/>
        <v>18</v>
      </c>
      <c r="AM343">
        <v>18</v>
      </c>
      <c r="AN343">
        <f t="shared" si="71"/>
        <v>0</v>
      </c>
      <c r="AO343" t="str">
        <f t="shared" si="65"/>
        <v>1.1.---1.1.---1.1.</v>
      </c>
      <c r="AP343" t="str">
        <f t="shared" si="72"/>
        <v>Puukiipijä</v>
      </c>
      <c r="AQ343" t="str">
        <f t="shared" si="73"/>
        <v>(1.1.---1.1.---1.1., 18/21)</v>
      </c>
    </row>
    <row r="344" spans="1:43" x14ac:dyDescent="0.2">
      <c r="A344" s="1"/>
      <c r="B344" s="9">
        <f t="shared" si="64"/>
        <v>338</v>
      </c>
      <c r="C344" s="10"/>
      <c r="D344" s="13" t="s">
        <v>335</v>
      </c>
      <c r="E344" s="14"/>
      <c r="F344" s="11"/>
      <c r="G344" s="12"/>
      <c r="H344" s="11"/>
      <c r="I344" s="12">
        <v>43618</v>
      </c>
      <c r="J344" s="11"/>
      <c r="K344" s="12"/>
      <c r="L344" s="11"/>
      <c r="M344" s="12"/>
      <c r="N344" s="11"/>
      <c r="O344" s="12">
        <v>43597</v>
      </c>
      <c r="P344" s="11"/>
      <c r="Q344" s="12">
        <v>43622</v>
      </c>
      <c r="R344" s="11"/>
      <c r="S344" s="12">
        <v>43716</v>
      </c>
      <c r="T344" s="11"/>
      <c r="U344" s="12"/>
      <c r="V344" s="11"/>
      <c r="W344" s="12"/>
      <c r="X344" s="11"/>
      <c r="Y344" s="12"/>
      <c r="Z344" s="11"/>
      <c r="AA344" s="12"/>
      <c r="AB344" s="11"/>
      <c r="AC344" s="12" t="s">
        <v>393</v>
      </c>
      <c r="AD344" s="34"/>
      <c r="AE344" s="33">
        <f t="shared" si="66"/>
        <v>43597</v>
      </c>
      <c r="AF344" s="33">
        <f t="shared" si="67"/>
        <v>43620</v>
      </c>
      <c r="AG344" s="33">
        <f t="shared" si="68"/>
        <v>43716</v>
      </c>
      <c r="AH344">
        <v>427</v>
      </c>
      <c r="AK344" s="36" t="str">
        <f t="shared" si="69"/>
        <v/>
      </c>
      <c r="AL344" t="str">
        <f t="shared" si="70"/>
        <v/>
      </c>
      <c r="AM344" t="s">
        <v>393</v>
      </c>
      <c r="AN344">
        <f t="shared" si="71"/>
        <v>119</v>
      </c>
      <c r="AO344" t="str">
        <f t="shared" si="65"/>
        <v>12.5.---4.6.---8.9.</v>
      </c>
      <c r="AP344" t="str">
        <f t="shared" si="72"/>
        <v>Pussitiainen</v>
      </c>
      <c r="AQ344" t="str">
        <f t="shared" si="73"/>
        <v>(12.5.---4.6.---8.9.)</v>
      </c>
    </row>
    <row r="345" spans="1:43" x14ac:dyDescent="0.2">
      <c r="A345" s="1"/>
      <c r="B345" s="9">
        <f t="shared" si="64"/>
        <v>339</v>
      </c>
      <c r="C345" s="10"/>
      <c r="D345" s="9" t="s">
        <v>336</v>
      </c>
      <c r="E345" s="10"/>
      <c r="F345" s="11"/>
      <c r="G345" s="12"/>
      <c r="H345" s="11">
        <v>43620</v>
      </c>
      <c r="I345" s="12">
        <v>43624</v>
      </c>
      <c r="J345" s="11">
        <v>43611</v>
      </c>
      <c r="K345" s="12">
        <v>43625</v>
      </c>
      <c r="L345" s="11"/>
      <c r="M345" s="12">
        <v>43622</v>
      </c>
      <c r="N345" s="11">
        <v>43630</v>
      </c>
      <c r="O345" s="12">
        <v>43623</v>
      </c>
      <c r="P345" s="11">
        <v>43634</v>
      </c>
      <c r="Q345" s="12">
        <v>43641</v>
      </c>
      <c r="R345" s="11"/>
      <c r="S345" s="12"/>
      <c r="T345" s="11">
        <v>43652</v>
      </c>
      <c r="U345" s="12">
        <v>43627</v>
      </c>
      <c r="V345" s="11">
        <v>43621</v>
      </c>
      <c r="W345" s="12">
        <v>43620</v>
      </c>
      <c r="X345" s="11"/>
      <c r="Y345" s="12">
        <v>43619</v>
      </c>
      <c r="Z345" s="11">
        <v>43630</v>
      </c>
      <c r="AA345" s="12">
        <v>43629</v>
      </c>
      <c r="AB345" s="11">
        <v>43623</v>
      </c>
      <c r="AC345" s="12">
        <v>43613</v>
      </c>
      <c r="AD345" s="34"/>
      <c r="AE345" s="33">
        <f t="shared" si="66"/>
        <v>43611</v>
      </c>
      <c r="AF345" s="33">
        <f t="shared" si="67"/>
        <v>43623.5</v>
      </c>
      <c r="AG345" s="33">
        <f t="shared" si="68"/>
        <v>43652</v>
      </c>
      <c r="AH345">
        <v>428</v>
      </c>
      <c r="AK345" s="36" t="str">
        <f t="shared" si="69"/>
        <v/>
      </c>
      <c r="AL345" t="str">
        <f t="shared" si="70"/>
        <v/>
      </c>
      <c r="AM345" t="s">
        <v>393</v>
      </c>
      <c r="AN345">
        <f t="shared" si="71"/>
        <v>41</v>
      </c>
      <c r="AO345" t="str">
        <f t="shared" si="65"/>
        <v>26.5.---7.6.---6.7.</v>
      </c>
      <c r="AP345" t="str">
        <f t="shared" si="72"/>
        <v>Kuhankeittäjä</v>
      </c>
      <c r="AQ345" t="str">
        <f t="shared" si="73"/>
        <v>(26.5.---7.6.---6.7.)</v>
      </c>
    </row>
    <row r="346" spans="1:43" x14ac:dyDescent="0.2">
      <c r="A346" s="1"/>
      <c r="B346" s="9">
        <f t="shared" ref="B346:B377" si="74">B345+1</f>
        <v>340</v>
      </c>
      <c r="C346" s="10"/>
      <c r="D346" s="15" t="s">
        <v>389</v>
      </c>
      <c r="E346" s="16"/>
      <c r="F346" s="11"/>
      <c r="G346" s="12"/>
      <c r="H346" s="11"/>
      <c r="I346" s="12"/>
      <c r="J346" s="11"/>
      <c r="K346" s="12"/>
      <c r="L346" s="11"/>
      <c r="M346" s="12"/>
      <c r="N346" s="11"/>
      <c r="O346" s="12"/>
      <c r="P346" s="11"/>
      <c r="Q346" s="12"/>
      <c r="R346" s="11"/>
      <c r="S346" s="12"/>
      <c r="T346" s="11"/>
      <c r="U346" s="12"/>
      <c r="V346" s="11"/>
      <c r="W346" s="12"/>
      <c r="X346" s="11"/>
      <c r="Y346" s="12"/>
      <c r="Z346" s="11"/>
      <c r="AA346" s="12">
        <v>43717</v>
      </c>
      <c r="AB346" s="11"/>
      <c r="AC346" s="12" t="s">
        <v>393</v>
      </c>
      <c r="AD346" s="34"/>
      <c r="AE346" s="33">
        <f t="shared" si="66"/>
        <v>43717</v>
      </c>
      <c r="AF346" s="33">
        <f t="shared" si="67"/>
        <v>43717</v>
      </c>
      <c r="AG346" s="33">
        <f t="shared" si="68"/>
        <v>43717</v>
      </c>
      <c r="AH346">
        <v>429</v>
      </c>
      <c r="AK346" s="36" t="str">
        <f t="shared" si="69"/>
        <v/>
      </c>
      <c r="AL346" t="str">
        <f t="shared" si="70"/>
        <v/>
      </c>
      <c r="AM346" t="s">
        <v>393</v>
      </c>
      <c r="AN346">
        <f t="shared" si="71"/>
        <v>0</v>
      </c>
      <c r="AO346" t="str">
        <f t="shared" si="65"/>
        <v>9.9.---9.9.---9.9.</v>
      </c>
      <c r="AP346" t="str">
        <f t="shared" si="72"/>
        <v>Siperianlepinkäinen</v>
      </c>
      <c r="AQ346" t="str">
        <f t="shared" si="73"/>
        <v>(9.9.---9.9.---9.9.)</v>
      </c>
    </row>
    <row r="347" spans="1:43" x14ac:dyDescent="0.2">
      <c r="A347" s="1"/>
      <c r="B347" s="9">
        <f t="shared" si="74"/>
        <v>341</v>
      </c>
      <c r="C347" s="10"/>
      <c r="D347" s="15" t="s">
        <v>337</v>
      </c>
      <c r="E347" s="16"/>
      <c r="F347" s="11"/>
      <c r="G347" s="12"/>
      <c r="H347" s="11"/>
      <c r="I347" s="12"/>
      <c r="J347" s="11"/>
      <c r="K347" s="12">
        <v>43609</v>
      </c>
      <c r="L347" s="11"/>
      <c r="M347" s="12"/>
      <c r="N347" s="11"/>
      <c r="O347" s="12"/>
      <c r="P347" s="11"/>
      <c r="Q347" s="12">
        <v>43790</v>
      </c>
      <c r="R347" s="11"/>
      <c r="S347" s="12"/>
      <c r="T347" s="11"/>
      <c r="U347" s="12"/>
      <c r="V347" s="11"/>
      <c r="W347" s="12"/>
      <c r="X347" s="11"/>
      <c r="Y347" s="12"/>
      <c r="Z347" s="11">
        <v>43779</v>
      </c>
      <c r="AA347" s="12"/>
      <c r="AB347" s="11"/>
      <c r="AC347" s="12" t="s">
        <v>393</v>
      </c>
      <c r="AD347" s="34"/>
      <c r="AE347" s="33">
        <f t="shared" si="66"/>
        <v>43609</v>
      </c>
      <c r="AF347" s="33">
        <f t="shared" si="67"/>
        <v>43779</v>
      </c>
      <c r="AG347" s="33">
        <f t="shared" si="68"/>
        <v>43790</v>
      </c>
      <c r="AH347">
        <v>430</v>
      </c>
      <c r="AK347" s="36" t="str">
        <f t="shared" si="69"/>
        <v/>
      </c>
      <c r="AL347" t="str">
        <f t="shared" si="70"/>
        <v/>
      </c>
      <c r="AM347" t="s">
        <v>393</v>
      </c>
      <c r="AN347">
        <f t="shared" si="71"/>
        <v>181</v>
      </c>
      <c r="AO347" t="str">
        <f t="shared" si="65"/>
        <v>24.5.---10.11.---21.11.</v>
      </c>
      <c r="AP347" t="str">
        <f t="shared" si="72"/>
        <v>Punapyrstölepinkäinen</v>
      </c>
      <c r="AQ347" t="str">
        <f t="shared" si="73"/>
        <v>(24.5.---10.11.---21.11.)</v>
      </c>
    </row>
    <row r="348" spans="1:43" x14ac:dyDescent="0.2">
      <c r="A348" s="1"/>
      <c r="B348" s="9">
        <f t="shared" si="74"/>
        <v>342</v>
      </c>
      <c r="C348" s="10"/>
      <c r="D348" s="9" t="s">
        <v>338</v>
      </c>
      <c r="E348" s="10"/>
      <c r="F348" s="11">
        <v>43606</v>
      </c>
      <c r="G348" s="12">
        <v>43602</v>
      </c>
      <c r="H348" s="11">
        <v>43600</v>
      </c>
      <c r="I348" s="12">
        <v>43588</v>
      </c>
      <c r="J348" s="11">
        <v>43593</v>
      </c>
      <c r="K348" s="12">
        <v>43606</v>
      </c>
      <c r="L348" s="11">
        <v>43609</v>
      </c>
      <c r="M348" s="12">
        <v>43602</v>
      </c>
      <c r="N348" s="11">
        <v>43609</v>
      </c>
      <c r="O348" s="12">
        <v>43605</v>
      </c>
      <c r="P348" s="11">
        <v>43594</v>
      </c>
      <c r="Q348" s="12">
        <v>43600</v>
      </c>
      <c r="R348" s="11">
        <v>43600</v>
      </c>
      <c r="S348" s="12">
        <v>43593</v>
      </c>
      <c r="T348" s="11">
        <v>43600</v>
      </c>
      <c r="U348" s="12">
        <v>43606</v>
      </c>
      <c r="V348" s="11">
        <v>43592</v>
      </c>
      <c r="W348" s="12">
        <v>43607</v>
      </c>
      <c r="X348" s="11">
        <v>43596</v>
      </c>
      <c r="Y348" s="12">
        <v>43603</v>
      </c>
      <c r="Z348" s="11">
        <v>43602</v>
      </c>
      <c r="AA348" s="12">
        <v>43603</v>
      </c>
      <c r="AB348" s="11">
        <v>43605</v>
      </c>
      <c r="AC348" s="12">
        <v>43602</v>
      </c>
      <c r="AD348" s="34"/>
      <c r="AE348" s="33">
        <f t="shared" si="66"/>
        <v>43588</v>
      </c>
      <c r="AF348" s="33">
        <f t="shared" si="67"/>
        <v>43602</v>
      </c>
      <c r="AG348" s="33">
        <f t="shared" si="68"/>
        <v>43609</v>
      </c>
      <c r="AH348">
        <v>431</v>
      </c>
      <c r="AK348" s="36" t="str">
        <f t="shared" si="69"/>
        <v/>
      </c>
      <c r="AL348" t="str">
        <f t="shared" si="70"/>
        <v/>
      </c>
      <c r="AM348" t="s">
        <v>393</v>
      </c>
      <c r="AN348">
        <f t="shared" si="71"/>
        <v>21</v>
      </c>
      <c r="AO348" t="str">
        <f t="shared" si="65"/>
        <v>3.5.---17.5.---24.5.</v>
      </c>
      <c r="AP348" t="str">
        <f t="shared" si="72"/>
        <v>Pikkulepinkäinen</v>
      </c>
      <c r="AQ348" t="str">
        <f t="shared" si="73"/>
        <v>(3.5.---17.5.---24.5.)</v>
      </c>
    </row>
    <row r="349" spans="1:43" x14ac:dyDescent="0.2">
      <c r="A349" s="1"/>
      <c r="B349" s="9">
        <f t="shared" si="74"/>
        <v>343</v>
      </c>
      <c r="C349" s="10"/>
      <c r="D349" s="13" t="s">
        <v>339</v>
      </c>
      <c r="E349" s="14"/>
      <c r="F349" s="11"/>
      <c r="G349" s="12"/>
      <c r="H349" s="11"/>
      <c r="I349" s="12"/>
      <c r="J349" s="11"/>
      <c r="K349" s="12">
        <v>43608</v>
      </c>
      <c r="L349" s="11"/>
      <c r="M349" s="12">
        <v>43611</v>
      </c>
      <c r="N349" s="11"/>
      <c r="O349" s="12">
        <v>43658</v>
      </c>
      <c r="P349" s="11"/>
      <c r="Q349" s="12">
        <v>43746</v>
      </c>
      <c r="R349" s="11"/>
      <c r="S349" s="12">
        <v>43610</v>
      </c>
      <c r="T349" s="11">
        <v>43598</v>
      </c>
      <c r="U349" s="12"/>
      <c r="V349" s="11"/>
      <c r="W349" s="12">
        <v>43611</v>
      </c>
      <c r="X349" s="11"/>
      <c r="Y349" s="12"/>
      <c r="Z349" s="11">
        <v>43667</v>
      </c>
      <c r="AA349" s="12">
        <v>43607</v>
      </c>
      <c r="AB349" s="11">
        <v>43669</v>
      </c>
      <c r="AC349" s="12">
        <v>43642</v>
      </c>
      <c r="AD349" s="34"/>
      <c r="AE349" s="33">
        <f t="shared" si="66"/>
        <v>43598</v>
      </c>
      <c r="AF349" s="33">
        <f t="shared" si="67"/>
        <v>43611</v>
      </c>
      <c r="AG349" s="33">
        <f t="shared" si="68"/>
        <v>43746</v>
      </c>
      <c r="AH349">
        <v>432</v>
      </c>
      <c r="AK349" s="36" t="str">
        <f t="shared" si="69"/>
        <v/>
      </c>
      <c r="AL349" t="str">
        <f t="shared" si="70"/>
        <v/>
      </c>
      <c r="AM349" t="s">
        <v>393</v>
      </c>
      <c r="AN349">
        <f t="shared" si="71"/>
        <v>148</v>
      </c>
      <c r="AO349" t="str">
        <f t="shared" si="65"/>
        <v>13.5.---26.5.---8.10.</v>
      </c>
      <c r="AP349" t="str">
        <f t="shared" si="72"/>
        <v>Mustaotsalepinkäinen</v>
      </c>
      <c r="AQ349" t="str">
        <f t="shared" si="73"/>
        <v>(13.5.---26.5.---8.10.)</v>
      </c>
    </row>
    <row r="350" spans="1:43" x14ac:dyDescent="0.2">
      <c r="A350" s="1"/>
      <c r="B350" s="9">
        <f t="shared" si="74"/>
        <v>344</v>
      </c>
      <c r="C350" s="10"/>
      <c r="D350" s="9" t="s">
        <v>340</v>
      </c>
      <c r="E350" s="10"/>
      <c r="F350" s="30"/>
      <c r="G350" s="12">
        <f>IF(AG1,DATE(2019,1,1),DATE(2019,4,12))</f>
        <v>43567</v>
      </c>
      <c r="H350" s="11">
        <f>IF(AG1,DATE(2019,1,1),DATE(2019,3,28))</f>
        <v>43552</v>
      </c>
      <c r="I350" s="12">
        <f>IF(AG1,DATE(2019,1,17),DATE(2019,3,13))</f>
        <v>43537</v>
      </c>
      <c r="J350" s="11">
        <f>IF(AG1,DATE(2019,1,1),DATE(2019,3,13))</f>
        <v>43537</v>
      </c>
      <c r="K350" s="12">
        <f>IF(AG1,DATE(2019,1,1),DATE(2019,3,24))</f>
        <v>43548</v>
      </c>
      <c r="L350" s="11">
        <f>IF(AG1,DATE(2019,1,1),DATE(2019,3,15))</f>
        <v>43539</v>
      </c>
      <c r="M350" s="12">
        <f>IF(AG1,DATE(2019,1,1),DATE(2019,3,5))</f>
        <v>43529</v>
      </c>
      <c r="N350" s="11">
        <f>IF(AG1,DATE(2019,1,1),DATE(2019,3,12))</f>
        <v>43536</v>
      </c>
      <c r="O350" s="12">
        <f>IF(AG1,DATE(2019,1,1),DATE(2019,3,6))</f>
        <v>43530</v>
      </c>
      <c r="P350" s="11">
        <f>IF(AG1,DATE(2019,1,1),DATE(2019,3,1))</f>
        <v>43525</v>
      </c>
      <c r="Q350" s="12">
        <f>IF(AG1,DATE(2019,1,1),DATE(2019,3,19))</f>
        <v>43543</v>
      </c>
      <c r="R350" s="11">
        <f>IF(AG1,DATE(2019,1,1),DATE(2019,3,23))</f>
        <v>43547</v>
      </c>
      <c r="S350" s="12">
        <f>IF(AG1,DATE(2019,1,1),DATE(2019,3,30))</f>
        <v>43554</v>
      </c>
      <c r="T350" s="11">
        <f>IF(AG1,DATE(2019,1,1),DATE(2019,3,5))</f>
        <v>43529</v>
      </c>
      <c r="U350" s="12">
        <f>IF(AG1,DATE(2019,1,1),DATE(2019,3,5))</f>
        <v>43529</v>
      </c>
      <c r="V350" s="11">
        <f>IF(AG1,DATE(2019,1,1),DATE(2019,3,6))</f>
        <v>43530</v>
      </c>
      <c r="W350" s="12">
        <f>IF(AG1,DATE(2019,1,1),DATE(2019,3,1))</f>
        <v>43525</v>
      </c>
      <c r="X350" s="11">
        <f>IF(AG1,DATE(2019,1,1),DATE(2019,4,7))</f>
        <v>43562</v>
      </c>
      <c r="Y350" s="12">
        <f>IF(AG1,DATE(2019,1,1),DATE(2019,3,7))</f>
        <v>43531</v>
      </c>
      <c r="Z350" s="11">
        <v>43469</v>
      </c>
      <c r="AA350" s="12">
        <v>43466</v>
      </c>
      <c r="AB350" s="11">
        <f>IF(AF1,DATE(2019,1,1),DATE(2019,3,6))</f>
        <v>43530</v>
      </c>
      <c r="AC350" s="12">
        <f>IF(AG1,DATE(2019,1,2),DATE(2019,3,4))</f>
        <v>43528</v>
      </c>
      <c r="AD350" s="34"/>
      <c r="AE350" s="33">
        <f t="shared" si="66"/>
        <v>43466</v>
      </c>
      <c r="AF350" s="33">
        <f t="shared" si="67"/>
        <v>43531</v>
      </c>
      <c r="AG350" s="33">
        <f t="shared" si="68"/>
        <v>43567</v>
      </c>
      <c r="AH350">
        <v>433</v>
      </c>
      <c r="AK350" s="36" t="str">
        <f t="shared" si="69"/>
        <v/>
      </c>
      <c r="AL350">
        <f t="shared" si="70"/>
        <v>1</v>
      </c>
      <c r="AM350">
        <v>20</v>
      </c>
      <c r="AN350">
        <f t="shared" si="71"/>
        <v>101</v>
      </c>
      <c r="AO350" t="str">
        <f t="shared" si="65"/>
        <v>1.1.---7.3.---12.4.</v>
      </c>
      <c r="AP350" t="str">
        <f t="shared" si="72"/>
        <v>Isolepinkäinen</v>
      </c>
      <c r="AQ350" t="str">
        <f t="shared" si="73"/>
        <v>(1.1.---7.3.---12.4., 20/21)</v>
      </c>
    </row>
    <row r="351" spans="1:43" x14ac:dyDescent="0.2">
      <c r="A351" s="1"/>
      <c r="B351" s="9">
        <f t="shared" si="74"/>
        <v>345</v>
      </c>
      <c r="C351" s="10"/>
      <c r="D351" s="9" t="s">
        <v>341</v>
      </c>
      <c r="E351" s="10"/>
      <c r="F351" s="11"/>
      <c r="G351" s="12"/>
      <c r="H351" s="11"/>
      <c r="I351" s="12">
        <v>43466</v>
      </c>
      <c r="J351" s="11">
        <v>43466</v>
      </c>
      <c r="K351" s="12">
        <v>43466</v>
      </c>
      <c r="L351" s="11">
        <v>43466</v>
      </c>
      <c r="M351" s="12">
        <v>43466</v>
      </c>
      <c r="N351" s="11">
        <v>43466</v>
      </c>
      <c r="O351" s="12">
        <v>43466</v>
      </c>
      <c r="P351" s="11">
        <v>43466</v>
      </c>
      <c r="Q351" s="12">
        <v>43466</v>
      </c>
      <c r="R351" s="11">
        <v>43466</v>
      </c>
      <c r="S351" s="12">
        <v>43466</v>
      </c>
      <c r="T351" s="11">
        <v>43466</v>
      </c>
      <c r="U351" s="12">
        <v>43466</v>
      </c>
      <c r="V351" s="11">
        <v>43466</v>
      </c>
      <c r="W351" s="12">
        <v>43466</v>
      </c>
      <c r="X351" s="11">
        <v>43466</v>
      </c>
      <c r="Y351" s="12">
        <v>43466</v>
      </c>
      <c r="Z351" s="11">
        <v>43466</v>
      </c>
      <c r="AA351" s="12">
        <v>43466</v>
      </c>
      <c r="AB351" s="11">
        <v>43466</v>
      </c>
      <c r="AC351" s="12">
        <v>43466</v>
      </c>
      <c r="AD351" s="34"/>
      <c r="AE351" s="33">
        <f t="shared" si="66"/>
        <v>43466</v>
      </c>
      <c r="AF351" s="33">
        <f t="shared" si="67"/>
        <v>43466</v>
      </c>
      <c r="AG351" s="33">
        <f t="shared" si="68"/>
        <v>43466</v>
      </c>
      <c r="AH351">
        <v>437</v>
      </c>
      <c r="AK351" s="36" t="str">
        <f t="shared" si="69"/>
        <v/>
      </c>
      <c r="AL351">
        <f t="shared" si="70"/>
        <v>18</v>
      </c>
      <c r="AM351">
        <v>18</v>
      </c>
      <c r="AN351">
        <f t="shared" si="71"/>
        <v>0</v>
      </c>
      <c r="AO351" t="str">
        <f t="shared" si="65"/>
        <v>1.1.---1.1.---1.1.</v>
      </c>
      <c r="AP351" t="str">
        <f t="shared" si="72"/>
        <v>Närhi</v>
      </c>
      <c r="AQ351" t="str">
        <f t="shared" si="73"/>
        <v>(1.1.---1.1.---1.1., 18/21)</v>
      </c>
    </row>
    <row r="352" spans="1:43" x14ac:dyDescent="0.2">
      <c r="A352" s="1"/>
      <c r="B352" s="9">
        <f t="shared" si="74"/>
        <v>346</v>
      </c>
      <c r="C352" s="10"/>
      <c r="D352" s="9" t="s">
        <v>342</v>
      </c>
      <c r="E352" s="10"/>
      <c r="F352" s="11">
        <v>43548</v>
      </c>
      <c r="G352" s="12">
        <v>43478</v>
      </c>
      <c r="H352" s="11">
        <v>43532</v>
      </c>
      <c r="I352" s="12">
        <v>43489</v>
      </c>
      <c r="J352" s="11">
        <v>43466</v>
      </c>
      <c r="K352" s="12">
        <v>43466</v>
      </c>
      <c r="L352" s="11">
        <v>43466</v>
      </c>
      <c r="M352" s="12">
        <v>43466</v>
      </c>
      <c r="N352" s="11">
        <v>43466</v>
      </c>
      <c r="O352" s="12">
        <v>43466</v>
      </c>
      <c r="P352" s="11">
        <v>43466</v>
      </c>
      <c r="Q352" s="12">
        <v>43466</v>
      </c>
      <c r="R352" s="11">
        <v>43466</v>
      </c>
      <c r="S352" s="12">
        <v>43466</v>
      </c>
      <c r="T352" s="11">
        <v>43466</v>
      </c>
      <c r="U352" s="12">
        <v>43466</v>
      </c>
      <c r="V352" s="11">
        <v>43466</v>
      </c>
      <c r="W352" s="12">
        <v>43466</v>
      </c>
      <c r="X352" s="11">
        <v>43466</v>
      </c>
      <c r="Y352" s="12">
        <v>43466</v>
      </c>
      <c r="Z352" s="11">
        <v>43466</v>
      </c>
      <c r="AA352" s="12">
        <v>43466</v>
      </c>
      <c r="AB352" s="11">
        <v>43466</v>
      </c>
      <c r="AC352" s="12">
        <v>43466</v>
      </c>
      <c r="AD352" s="34"/>
      <c r="AE352" s="33">
        <f t="shared" si="66"/>
        <v>43466</v>
      </c>
      <c r="AF352" s="33">
        <f t="shared" si="67"/>
        <v>43466</v>
      </c>
      <c r="AG352" s="33">
        <f t="shared" si="68"/>
        <v>43548</v>
      </c>
      <c r="AH352">
        <v>438</v>
      </c>
      <c r="AK352" s="36" t="str">
        <f t="shared" si="69"/>
        <v/>
      </c>
      <c r="AL352">
        <f t="shared" si="70"/>
        <v>19</v>
      </c>
      <c r="AM352">
        <v>19</v>
      </c>
      <c r="AN352">
        <f t="shared" si="71"/>
        <v>82</v>
      </c>
      <c r="AO352" t="str">
        <f t="shared" si="65"/>
        <v>1.1.---1.1.---24.3.</v>
      </c>
      <c r="AP352" t="str">
        <f t="shared" si="72"/>
        <v>Kuukkeli</v>
      </c>
      <c r="AQ352" t="str">
        <f t="shared" si="73"/>
        <v>(1.1.---1.1.---24.3., 19/21)</v>
      </c>
    </row>
    <row r="353" spans="1:43" x14ac:dyDescent="0.2">
      <c r="A353" s="1"/>
      <c r="B353" s="9">
        <f t="shared" si="74"/>
        <v>347</v>
      </c>
      <c r="C353" s="10"/>
      <c r="D353" s="9" t="s">
        <v>343</v>
      </c>
      <c r="E353" s="10"/>
      <c r="F353" s="11"/>
      <c r="G353" s="12"/>
      <c r="H353" s="11"/>
      <c r="I353" s="12">
        <v>43466</v>
      </c>
      <c r="J353" s="11">
        <v>43466</v>
      </c>
      <c r="K353" s="12">
        <v>43466</v>
      </c>
      <c r="L353" s="11">
        <v>43466</v>
      </c>
      <c r="M353" s="12">
        <v>43466</v>
      </c>
      <c r="N353" s="11">
        <v>43466</v>
      </c>
      <c r="O353" s="12">
        <v>43466</v>
      </c>
      <c r="P353" s="11">
        <v>43466</v>
      </c>
      <c r="Q353" s="12">
        <v>43466</v>
      </c>
      <c r="R353" s="11">
        <v>43466</v>
      </c>
      <c r="S353" s="12">
        <v>43466</v>
      </c>
      <c r="T353" s="11">
        <v>43466</v>
      </c>
      <c r="U353" s="12">
        <v>43466</v>
      </c>
      <c r="V353" s="11">
        <v>43466</v>
      </c>
      <c r="W353" s="12">
        <v>43466</v>
      </c>
      <c r="X353" s="11">
        <v>43466</v>
      </c>
      <c r="Y353" s="12">
        <v>43466</v>
      </c>
      <c r="Z353" s="11">
        <v>43466</v>
      </c>
      <c r="AA353" s="12">
        <v>43466</v>
      </c>
      <c r="AB353" s="11">
        <v>43466</v>
      </c>
      <c r="AC353" s="12">
        <v>43466</v>
      </c>
      <c r="AD353" s="34"/>
      <c r="AE353" s="33">
        <f t="shared" si="66"/>
        <v>43466</v>
      </c>
      <c r="AF353" s="33">
        <f t="shared" si="67"/>
        <v>43466</v>
      </c>
      <c r="AG353" s="33">
        <f t="shared" si="68"/>
        <v>43466</v>
      </c>
      <c r="AH353">
        <v>439</v>
      </c>
      <c r="AK353" s="36" t="str">
        <f t="shared" si="69"/>
        <v/>
      </c>
      <c r="AL353">
        <f t="shared" si="70"/>
        <v>18</v>
      </c>
      <c r="AM353">
        <v>18</v>
      </c>
      <c r="AN353">
        <f t="shared" si="71"/>
        <v>0</v>
      </c>
      <c r="AO353" t="str">
        <f t="shared" si="65"/>
        <v>1.1.---1.1.---1.1.</v>
      </c>
      <c r="AP353" t="str">
        <f t="shared" si="72"/>
        <v>Harakka</v>
      </c>
      <c r="AQ353" t="str">
        <f t="shared" si="73"/>
        <v>(1.1.---1.1.---1.1., 18/21)</v>
      </c>
    </row>
    <row r="354" spans="1:43" x14ac:dyDescent="0.2">
      <c r="A354" s="1"/>
      <c r="B354" s="9">
        <f t="shared" si="74"/>
        <v>348</v>
      </c>
      <c r="C354" s="10"/>
      <c r="D354" s="9" t="s">
        <v>344</v>
      </c>
      <c r="E354" s="10"/>
      <c r="F354" s="11">
        <v>43467</v>
      </c>
      <c r="G354" s="12">
        <v>43594</v>
      </c>
      <c r="H354" s="11">
        <v>43470</v>
      </c>
      <c r="I354" s="12">
        <v>43466</v>
      </c>
      <c r="J354" s="11">
        <v>43466</v>
      </c>
      <c r="K354" s="12">
        <v>43466</v>
      </c>
      <c r="L354" s="11">
        <v>43466</v>
      </c>
      <c r="M354" s="12">
        <v>43466</v>
      </c>
      <c r="N354" s="11">
        <v>43466</v>
      </c>
      <c r="O354" s="12">
        <v>43468</v>
      </c>
      <c r="P354" s="11">
        <v>43466</v>
      </c>
      <c r="Q354" s="12">
        <v>43467</v>
      </c>
      <c r="R354" s="11">
        <v>43466</v>
      </c>
      <c r="S354" s="12">
        <v>43466</v>
      </c>
      <c r="T354" s="11">
        <v>43467</v>
      </c>
      <c r="U354" s="12">
        <v>43468</v>
      </c>
      <c r="V354" s="11">
        <v>43467</v>
      </c>
      <c r="W354" s="12">
        <v>43466</v>
      </c>
      <c r="X354" s="11">
        <v>43468</v>
      </c>
      <c r="Y354" s="12">
        <v>43468</v>
      </c>
      <c r="Z354" s="11">
        <v>43470</v>
      </c>
      <c r="AA354" s="12">
        <v>43466</v>
      </c>
      <c r="AB354" s="11">
        <v>43466</v>
      </c>
      <c r="AC354" s="12">
        <v>43466</v>
      </c>
      <c r="AD354" s="34"/>
      <c r="AE354" s="33">
        <f t="shared" si="66"/>
        <v>43466</v>
      </c>
      <c r="AF354" s="33">
        <f t="shared" si="67"/>
        <v>43466</v>
      </c>
      <c r="AG354" s="33">
        <f t="shared" si="68"/>
        <v>43594</v>
      </c>
      <c r="AH354">
        <v>440</v>
      </c>
      <c r="AK354" s="36" t="str">
        <f t="shared" si="69"/>
        <v/>
      </c>
      <c r="AL354">
        <f t="shared" si="70"/>
        <v>20</v>
      </c>
      <c r="AM354">
        <v>20</v>
      </c>
      <c r="AN354">
        <f t="shared" si="71"/>
        <v>128</v>
      </c>
      <c r="AO354" t="str">
        <f t="shared" si="65"/>
        <v>1.1.---1.1.---9.5.</v>
      </c>
      <c r="AP354" t="str">
        <f t="shared" si="72"/>
        <v>Pähkinähakki</v>
      </c>
      <c r="AQ354" t="str">
        <f t="shared" si="73"/>
        <v>(1.1.---1.1.---9.5., 20/21)</v>
      </c>
    </row>
    <row r="355" spans="1:43" x14ac:dyDescent="0.2">
      <c r="A355" s="1"/>
      <c r="B355" s="9">
        <f t="shared" si="74"/>
        <v>349</v>
      </c>
      <c r="C355" s="10"/>
      <c r="D355" s="9" t="s">
        <v>345</v>
      </c>
      <c r="E355" s="10"/>
      <c r="F355" s="11"/>
      <c r="G355" s="12"/>
      <c r="H355" s="11"/>
      <c r="I355" s="12">
        <v>43466</v>
      </c>
      <c r="J355" s="11">
        <v>43466</v>
      </c>
      <c r="K355" s="12">
        <v>43466</v>
      </c>
      <c r="L355" s="11">
        <v>43466</v>
      </c>
      <c r="M355" s="12">
        <v>43466</v>
      </c>
      <c r="N355" s="11">
        <v>43466</v>
      </c>
      <c r="O355" s="12">
        <v>43466</v>
      </c>
      <c r="P355" s="11">
        <v>43466</v>
      </c>
      <c r="Q355" s="12">
        <v>43466</v>
      </c>
      <c r="R355" s="11">
        <v>43466</v>
      </c>
      <c r="S355" s="12">
        <v>43466</v>
      </c>
      <c r="T355" s="11">
        <v>43466</v>
      </c>
      <c r="U355" s="12">
        <v>43466</v>
      </c>
      <c r="V355" s="11">
        <v>43466</v>
      </c>
      <c r="W355" s="12">
        <v>43466</v>
      </c>
      <c r="X355" s="11">
        <v>43466</v>
      </c>
      <c r="Y355" s="12">
        <v>43466</v>
      </c>
      <c r="Z355" s="11">
        <v>43466</v>
      </c>
      <c r="AA355" s="12">
        <v>43466</v>
      </c>
      <c r="AB355" s="11">
        <v>43466</v>
      </c>
      <c r="AC355" s="12">
        <v>43466</v>
      </c>
      <c r="AD355" s="34"/>
      <c r="AE355" s="33">
        <f t="shared" si="66"/>
        <v>43466</v>
      </c>
      <c r="AF355" s="33">
        <f t="shared" si="67"/>
        <v>43466</v>
      </c>
      <c r="AG355" s="33">
        <f t="shared" si="68"/>
        <v>43466</v>
      </c>
      <c r="AH355">
        <v>441</v>
      </c>
      <c r="AK355" s="36" t="str">
        <f t="shared" si="69"/>
        <v/>
      </c>
      <c r="AL355">
        <f t="shared" si="70"/>
        <v>18</v>
      </c>
      <c r="AM355">
        <v>18</v>
      </c>
      <c r="AN355">
        <f t="shared" si="71"/>
        <v>0</v>
      </c>
      <c r="AO355" t="str">
        <f t="shared" si="65"/>
        <v>1.1.---1.1.---1.1.</v>
      </c>
      <c r="AP355" t="str">
        <f t="shared" si="72"/>
        <v>Naakka</v>
      </c>
      <c r="AQ355" t="str">
        <f t="shared" si="73"/>
        <v>(1.1.---1.1.---1.1., 18/21)</v>
      </c>
    </row>
    <row r="356" spans="1:43" x14ac:dyDescent="0.2">
      <c r="A356" s="1"/>
      <c r="B356" s="9">
        <f t="shared" si="74"/>
        <v>350</v>
      </c>
      <c r="C356" s="10"/>
      <c r="D356" s="9" t="s">
        <v>346</v>
      </c>
      <c r="E356" s="10"/>
      <c r="F356" s="11">
        <f>IF(AG1,DATE(2019,1,1),DATE(2019,3,10))</f>
        <v>43534</v>
      </c>
      <c r="G356" s="12">
        <f>IF(AG1,DATE(2019,1,1),DATE(2019,3,8))</f>
        <v>43532</v>
      </c>
      <c r="H356" s="11">
        <f>IF(AG1,DATE(2019,1,1),DATE(2019,2,17))</f>
        <v>43513</v>
      </c>
      <c r="I356" s="12">
        <f>IF(AG1,DATE(2019,1,1),DATE(2019,3,12))</f>
        <v>43536</v>
      </c>
      <c r="J356" s="11">
        <f>IF(AG1,DATE(2019,1,1),DATE(2019,3,10))</f>
        <v>43534</v>
      </c>
      <c r="K356" s="12">
        <f>IF(AG1,DATE(2019,1,1),DATE(2019,3,22))</f>
        <v>43546</v>
      </c>
      <c r="L356" s="11">
        <f>IF(AG1,DATE(2019,1,1),DATE(2019,3,21))</f>
        <v>43545</v>
      </c>
      <c r="M356" s="12">
        <f>IF(AG1,DATE(2019,1,1),DATE(2019,3,10))</f>
        <v>43534</v>
      </c>
      <c r="N356" s="11">
        <f>IF(AG1,DATE(2019,1,1),DATE(2019,3,7))</f>
        <v>43531</v>
      </c>
      <c r="O356" s="12">
        <f>IF(AG1,DATE(2019,1,1),DATE(2019,3,13))</f>
        <v>43537</v>
      </c>
      <c r="P356" s="11">
        <f>IF(AG1,DATE(2019,1,3),DATE(2019,3,12))</f>
        <v>43536</v>
      </c>
      <c r="Q356" s="12">
        <f>IF(AG1,DATE(2019,1,1),DATE(2019,3,4))</f>
        <v>43528</v>
      </c>
      <c r="R356" s="11">
        <f>IF(AG1,DATE(2019,1,1),DATE(2019,3,4))</f>
        <v>43528</v>
      </c>
      <c r="S356" s="12">
        <f>IF(AG1,DATE(2019,1,1),DATE(2019,3,8))</f>
        <v>43532</v>
      </c>
      <c r="T356" s="11">
        <f>IF(AG1,DATE(2019,1,1),DATE(2019,2,25))</f>
        <v>43521</v>
      </c>
      <c r="U356" s="12">
        <f>IF(AG1,DATE(2019,1,1),DATE(2019,2,25))</f>
        <v>43521</v>
      </c>
      <c r="V356" s="11">
        <f>IF(AG1,DATE(2019,1,1),DATE(2019,3,2))</f>
        <v>43526</v>
      </c>
      <c r="W356" s="12">
        <f>IF(AG1,DATE(2019,1,2),DATE(2019,3,12))</f>
        <v>43536</v>
      </c>
      <c r="X356" s="11">
        <f>IF(AG1,DATE(2019,1,1),DATE(2019,3,19))</f>
        <v>43543</v>
      </c>
      <c r="Y356" s="12">
        <f>IF(AG1,DATE(2019,1,1),DATE(2019,3,16))</f>
        <v>43540</v>
      </c>
      <c r="Z356" s="11">
        <f>IF(AG1,DATE(2019,1,2),DATE(2019,3,1))</f>
        <v>43525</v>
      </c>
      <c r="AA356" s="12">
        <v>43467</v>
      </c>
      <c r="AB356" s="11">
        <f>IF(AF1,DATE(2019,1,1),DATE(2019,3,2))</f>
        <v>43526</v>
      </c>
      <c r="AC356" s="12">
        <f>IF(AG1,DATE(2019,1,3),DATE(2019,3,3))</f>
        <v>43527</v>
      </c>
      <c r="AD356" s="34"/>
      <c r="AE356" s="33">
        <f t="shared" si="66"/>
        <v>43467</v>
      </c>
      <c r="AF356" s="33">
        <f t="shared" si="67"/>
        <v>43532</v>
      </c>
      <c r="AG356" s="33">
        <f t="shared" si="68"/>
        <v>43546</v>
      </c>
      <c r="AH356">
        <v>443</v>
      </c>
      <c r="AK356" s="36" t="str">
        <f t="shared" si="69"/>
        <v/>
      </c>
      <c r="AL356">
        <f t="shared" si="70"/>
        <v>3</v>
      </c>
      <c r="AM356">
        <v>21</v>
      </c>
      <c r="AN356">
        <f t="shared" si="71"/>
        <v>79</v>
      </c>
      <c r="AO356" t="str">
        <f t="shared" si="65"/>
        <v>2.1.---8.3.---22.3.</v>
      </c>
      <c r="AP356" t="str">
        <f t="shared" si="72"/>
        <v>Mustavaris</v>
      </c>
      <c r="AQ356" t="str">
        <f t="shared" si="73"/>
        <v>(2.1.---8.3.---22.3., 21/21)</v>
      </c>
    </row>
    <row r="357" spans="1:43" x14ac:dyDescent="0.2">
      <c r="A357" s="1"/>
      <c r="B357" s="9">
        <f t="shared" si="74"/>
        <v>351</v>
      </c>
      <c r="C357" s="10"/>
      <c r="D357" s="9" t="s">
        <v>347</v>
      </c>
      <c r="E357" s="10"/>
      <c r="F357" s="11"/>
      <c r="G357" s="12"/>
      <c r="H357" s="11"/>
      <c r="I357" s="12">
        <v>43466</v>
      </c>
      <c r="J357" s="11">
        <v>43466</v>
      </c>
      <c r="K357" s="12">
        <v>43466</v>
      </c>
      <c r="L357" s="11">
        <v>43466</v>
      </c>
      <c r="M357" s="12">
        <v>43466</v>
      </c>
      <c r="N357" s="11">
        <v>43466</v>
      </c>
      <c r="O357" s="12">
        <v>43466</v>
      </c>
      <c r="P357" s="11">
        <v>43466</v>
      </c>
      <c r="Q357" s="12">
        <v>43466</v>
      </c>
      <c r="R357" s="11">
        <v>43466</v>
      </c>
      <c r="S357" s="12">
        <v>43466</v>
      </c>
      <c r="T357" s="11">
        <v>43466</v>
      </c>
      <c r="U357" s="12">
        <v>43466</v>
      </c>
      <c r="V357" s="11">
        <v>43466</v>
      </c>
      <c r="W357" s="12">
        <v>43466</v>
      </c>
      <c r="X357" s="11">
        <v>43466</v>
      </c>
      <c r="Y357" s="12">
        <v>43466</v>
      </c>
      <c r="Z357" s="11">
        <v>43466</v>
      </c>
      <c r="AA357" s="12">
        <v>43466</v>
      </c>
      <c r="AB357" s="11">
        <v>43466</v>
      </c>
      <c r="AC357" s="12">
        <v>43466</v>
      </c>
      <c r="AD357" s="34"/>
      <c r="AE357" s="33">
        <f t="shared" si="66"/>
        <v>43466</v>
      </c>
      <c r="AF357" s="33">
        <f t="shared" si="67"/>
        <v>43466</v>
      </c>
      <c r="AG357" s="33">
        <f t="shared" si="68"/>
        <v>43466</v>
      </c>
      <c r="AH357">
        <v>444</v>
      </c>
      <c r="AK357" s="36" t="str">
        <f t="shared" si="69"/>
        <v/>
      </c>
      <c r="AL357">
        <f t="shared" si="70"/>
        <v>18</v>
      </c>
      <c r="AM357">
        <v>18</v>
      </c>
      <c r="AN357">
        <f t="shared" si="71"/>
        <v>0</v>
      </c>
      <c r="AO357" t="str">
        <f t="shared" si="65"/>
        <v>1.1.---1.1.---1.1.</v>
      </c>
      <c r="AP357" t="str">
        <f t="shared" si="72"/>
        <v>Varis</v>
      </c>
      <c r="AQ357" t="str">
        <f t="shared" si="73"/>
        <v>(1.1.---1.1.---1.1., 18/21)</v>
      </c>
    </row>
    <row r="358" spans="1:43" x14ac:dyDescent="0.2">
      <c r="A358" s="1"/>
      <c r="B358" s="9">
        <f t="shared" si="74"/>
        <v>352</v>
      </c>
      <c r="C358" s="10"/>
      <c r="D358" s="9" t="s">
        <v>348</v>
      </c>
      <c r="E358" s="10"/>
      <c r="F358" s="11"/>
      <c r="G358" s="12"/>
      <c r="H358" s="11"/>
      <c r="I358" s="12">
        <v>43466</v>
      </c>
      <c r="J358" s="11">
        <v>43466</v>
      </c>
      <c r="K358" s="12">
        <v>43466</v>
      </c>
      <c r="L358" s="11">
        <v>43466</v>
      </c>
      <c r="M358" s="12">
        <v>43466</v>
      </c>
      <c r="N358" s="11">
        <v>43466</v>
      </c>
      <c r="O358" s="12">
        <v>43466</v>
      </c>
      <c r="P358" s="11">
        <v>43466</v>
      </c>
      <c r="Q358" s="12">
        <v>43466</v>
      </c>
      <c r="R358" s="11">
        <v>43466</v>
      </c>
      <c r="S358" s="12">
        <v>43466</v>
      </c>
      <c r="T358" s="11">
        <v>43466</v>
      </c>
      <c r="U358" s="12">
        <v>43466</v>
      </c>
      <c r="V358" s="11">
        <v>43466</v>
      </c>
      <c r="W358" s="12">
        <v>43466</v>
      </c>
      <c r="X358" s="11">
        <v>43466</v>
      </c>
      <c r="Y358" s="12">
        <v>43466</v>
      </c>
      <c r="Z358" s="11">
        <v>43466</v>
      </c>
      <c r="AA358" s="12">
        <v>43466</v>
      </c>
      <c r="AB358" s="11">
        <v>43466</v>
      </c>
      <c r="AC358" s="12">
        <v>43466</v>
      </c>
      <c r="AD358" s="34"/>
      <c r="AE358" s="33">
        <f t="shared" si="66"/>
        <v>43466</v>
      </c>
      <c r="AF358" s="33">
        <f t="shared" si="67"/>
        <v>43466</v>
      </c>
      <c r="AG358" s="33">
        <f t="shared" si="68"/>
        <v>43466</v>
      </c>
      <c r="AH358">
        <v>445</v>
      </c>
      <c r="AK358" s="36" t="str">
        <f t="shared" si="69"/>
        <v/>
      </c>
      <c r="AL358">
        <f t="shared" si="70"/>
        <v>18</v>
      </c>
      <c r="AM358">
        <v>18</v>
      </c>
      <c r="AN358">
        <f t="shared" si="71"/>
        <v>0</v>
      </c>
      <c r="AO358" t="str">
        <f t="shared" si="65"/>
        <v>1.1.---1.1.---1.1.</v>
      </c>
      <c r="AP358" t="str">
        <f t="shared" si="72"/>
        <v>Korppi</v>
      </c>
      <c r="AQ358" t="str">
        <f t="shared" si="73"/>
        <v>(1.1.---1.1.---1.1., 18/21)</v>
      </c>
    </row>
    <row r="359" spans="1:43" x14ac:dyDescent="0.2">
      <c r="A359" s="1"/>
      <c r="B359" s="9">
        <f t="shared" si="74"/>
        <v>353</v>
      </c>
      <c r="C359" s="10"/>
      <c r="D359" s="9" t="s">
        <v>349</v>
      </c>
      <c r="E359" s="10"/>
      <c r="F359" s="11">
        <f>IF(AG1,DATE(2019,1,1),DATE(2019,3,22))</f>
        <v>43546</v>
      </c>
      <c r="G359" s="12">
        <f>IF(AG1,DATE(2019,1,1),DATE(2019,3,31))</f>
        <v>43555</v>
      </c>
      <c r="H359" s="11">
        <f>IF(AG1,DATE(2019,1,1),DATE(2019,3,18))</f>
        <v>43542</v>
      </c>
      <c r="I359" s="12">
        <v>43536</v>
      </c>
      <c r="J359" s="11">
        <v>43543</v>
      </c>
      <c r="K359" s="12">
        <f>IF(AG1,DATE(2019,1,1),DATE(2019,3,24))</f>
        <v>43548</v>
      </c>
      <c r="L359" s="11">
        <f>IF(AG1,DATE(2019,1,1),DATE(2019,4,6))</f>
        <v>43561</v>
      </c>
      <c r="M359" s="12">
        <f>IF(AG1,DATE(2019,1,1),DATE(2019,3,12))</f>
        <v>43536</v>
      </c>
      <c r="N359" s="11">
        <f>IF(AG1,DATE(2019,1,1),DATE(2019,3,12))</f>
        <v>43536</v>
      </c>
      <c r="O359" s="12">
        <f>IF(AG1,DATE(2019,1,1),DATE(2019,3,15))</f>
        <v>43539</v>
      </c>
      <c r="P359" s="11">
        <f>IF(AG1,DATE(2019,1,4),DATE(2019,3,30))</f>
        <v>43554</v>
      </c>
      <c r="Q359" s="12">
        <f>IF(AG1,DATE(2019,1,1),DATE(2019,4,1))</f>
        <v>43556</v>
      </c>
      <c r="R359" s="11">
        <f>IF(AG1,DATE(2019,1,4),DATE(2019,3,22))</f>
        <v>43546</v>
      </c>
      <c r="S359" s="12">
        <v>43559</v>
      </c>
      <c r="T359" s="11">
        <f>IF(AG1,DATE(2019,1,2),DATE(2019,3,13))</f>
        <v>43537</v>
      </c>
      <c r="U359" s="12">
        <f>IF(AG1,DATE(2019,1,1),DATE(2019,3,6))</f>
        <v>43530</v>
      </c>
      <c r="V359" s="11">
        <f>IF(AG1,DATE(2019,1,4),DATE(2019,3,26))</f>
        <v>43550</v>
      </c>
      <c r="W359" s="12">
        <v>43540</v>
      </c>
      <c r="X359" s="11">
        <f>IF(AG1,DATE(2019,1,20),DATE(2019,3,13))</f>
        <v>43537</v>
      </c>
      <c r="Y359" s="12">
        <f>IF(AG1,DATE(2019,1,1),DATE(2019,3,24))</f>
        <v>43548</v>
      </c>
      <c r="Z359" s="11">
        <f>IF(AG1,DATE(2019,1,4),DATE(2019,3,10))</f>
        <v>43534</v>
      </c>
      <c r="AA359" s="12">
        <f>IF(AG1,DATE(2019,1,3),DATE(2019,3,22))</f>
        <v>43546</v>
      </c>
      <c r="AB359" s="11">
        <f>IF(AF1,DATE(2019,1,1),DATE(2019,3,12))</f>
        <v>43536</v>
      </c>
      <c r="AC359" s="12">
        <f>IF(AG1,DATE(2019,1,15),DATE(2019,4,4))</f>
        <v>43559</v>
      </c>
      <c r="AD359" s="34"/>
      <c r="AE359" s="33">
        <f t="shared" si="66"/>
        <v>43530</v>
      </c>
      <c r="AF359" s="33">
        <f t="shared" si="67"/>
        <v>43544.5</v>
      </c>
      <c r="AG359" s="33">
        <f t="shared" si="68"/>
        <v>43561</v>
      </c>
      <c r="AH359">
        <v>446</v>
      </c>
      <c r="AK359" s="36" t="str">
        <f t="shared" si="69"/>
        <v/>
      </c>
      <c r="AL359" t="str">
        <f t="shared" si="70"/>
        <v/>
      </c>
      <c r="AM359">
        <v>17</v>
      </c>
      <c r="AN359">
        <f t="shared" si="71"/>
        <v>31</v>
      </c>
      <c r="AO359" t="str">
        <f t="shared" si="65"/>
        <v>6.3.---20.3.---6.4.</v>
      </c>
      <c r="AP359" t="str">
        <f t="shared" si="72"/>
        <v>Kottarainen</v>
      </c>
      <c r="AQ359" t="str">
        <f t="shared" si="73"/>
        <v>(6.3.---20.3.---6.4., 17/21)</v>
      </c>
    </row>
    <row r="360" spans="1:43" x14ac:dyDescent="0.2">
      <c r="A360" s="1"/>
      <c r="B360" s="9">
        <f t="shared" si="74"/>
        <v>354</v>
      </c>
      <c r="C360" s="10"/>
      <c r="D360" s="13" t="s">
        <v>350</v>
      </c>
      <c r="E360" s="14"/>
      <c r="F360" s="11"/>
      <c r="G360" s="12"/>
      <c r="H360" s="11"/>
      <c r="I360" s="12"/>
      <c r="J360" s="11">
        <v>43675</v>
      </c>
      <c r="K360" s="12"/>
      <c r="L360" s="11"/>
      <c r="M360" s="12"/>
      <c r="N360" s="11">
        <v>43621</v>
      </c>
      <c r="O360" s="12"/>
      <c r="P360" s="11"/>
      <c r="Q360" s="12">
        <v>43654</v>
      </c>
      <c r="R360" s="11">
        <v>43662</v>
      </c>
      <c r="S360" s="12"/>
      <c r="T360" s="11">
        <v>43607</v>
      </c>
      <c r="U360" s="12">
        <v>43617</v>
      </c>
      <c r="V360" s="11"/>
      <c r="W360" s="12">
        <v>43634</v>
      </c>
      <c r="X360" s="11">
        <v>43629</v>
      </c>
      <c r="Y360" s="12"/>
      <c r="Z360" s="11">
        <v>43651</v>
      </c>
      <c r="AA360" s="12">
        <v>43619</v>
      </c>
      <c r="AB360" s="11">
        <v>43659</v>
      </c>
      <c r="AC360" s="12" t="s">
        <v>393</v>
      </c>
      <c r="AD360" s="34"/>
      <c r="AE360" s="33">
        <f t="shared" si="66"/>
        <v>43607</v>
      </c>
      <c r="AF360" s="33">
        <f t="shared" si="67"/>
        <v>43634</v>
      </c>
      <c r="AG360" s="33">
        <f t="shared" si="68"/>
        <v>43675</v>
      </c>
      <c r="AH360">
        <v>447</v>
      </c>
      <c r="AK360" s="36" t="str">
        <f t="shared" si="69"/>
        <v/>
      </c>
      <c r="AL360" t="str">
        <f t="shared" si="70"/>
        <v/>
      </c>
      <c r="AM360" t="s">
        <v>393</v>
      </c>
      <c r="AN360">
        <f t="shared" si="71"/>
        <v>68</v>
      </c>
      <c r="AO360" t="str">
        <f t="shared" si="65"/>
        <v>22.5.---18.6.---29.7.</v>
      </c>
      <c r="AP360" t="str">
        <f t="shared" si="72"/>
        <v>Punakottarainen</v>
      </c>
      <c r="AQ360" t="str">
        <f t="shared" si="73"/>
        <v>(22.5.---18.6.---29.7.)</v>
      </c>
    </row>
    <row r="361" spans="1:43" x14ac:dyDescent="0.2">
      <c r="A361" s="1"/>
      <c r="B361" s="9">
        <f t="shared" si="74"/>
        <v>355</v>
      </c>
      <c r="C361" s="10"/>
      <c r="D361" s="9" t="s">
        <v>351</v>
      </c>
      <c r="E361" s="10"/>
      <c r="F361" s="11"/>
      <c r="G361" s="12"/>
      <c r="H361" s="11"/>
      <c r="I361" s="12">
        <v>43466</v>
      </c>
      <c r="J361" s="11">
        <v>43466</v>
      </c>
      <c r="K361" s="12">
        <v>43466</v>
      </c>
      <c r="L361" s="11">
        <v>43466</v>
      </c>
      <c r="M361" s="12">
        <v>43466</v>
      </c>
      <c r="N361" s="11">
        <v>43466</v>
      </c>
      <c r="O361" s="12">
        <v>43466</v>
      </c>
      <c r="P361" s="11">
        <v>43466</v>
      </c>
      <c r="Q361" s="12">
        <v>43466</v>
      </c>
      <c r="R361" s="11">
        <v>43466</v>
      </c>
      <c r="S361" s="12">
        <v>43466</v>
      </c>
      <c r="T361" s="11">
        <v>43466</v>
      </c>
      <c r="U361" s="12">
        <v>43466</v>
      </c>
      <c r="V361" s="11">
        <v>43466</v>
      </c>
      <c r="W361" s="12">
        <v>43466</v>
      </c>
      <c r="X361" s="11">
        <v>43466</v>
      </c>
      <c r="Y361" s="12">
        <v>43466</v>
      </c>
      <c r="Z361" s="11">
        <v>43466</v>
      </c>
      <c r="AA361" s="12">
        <v>43466</v>
      </c>
      <c r="AB361" s="11">
        <v>43466</v>
      </c>
      <c r="AC361" s="12">
        <v>43466</v>
      </c>
      <c r="AD361" s="34"/>
      <c r="AE361" s="33">
        <f t="shared" si="66"/>
        <v>43466</v>
      </c>
      <c r="AF361" s="33">
        <f t="shared" si="67"/>
        <v>43466</v>
      </c>
      <c r="AG361" s="33">
        <f t="shared" si="68"/>
        <v>43466</v>
      </c>
      <c r="AH361">
        <v>448</v>
      </c>
      <c r="AK361" s="36" t="str">
        <f t="shared" si="69"/>
        <v/>
      </c>
      <c r="AL361">
        <f t="shared" si="70"/>
        <v>18</v>
      </c>
      <c r="AM361">
        <v>18</v>
      </c>
      <c r="AN361">
        <f t="shared" si="71"/>
        <v>0</v>
      </c>
      <c r="AO361" t="str">
        <f t="shared" si="65"/>
        <v>1.1.---1.1.---1.1.</v>
      </c>
      <c r="AP361" t="str">
        <f t="shared" si="72"/>
        <v>Varpunen</v>
      </c>
      <c r="AQ361" t="str">
        <f t="shared" si="73"/>
        <v>(1.1.---1.1.---1.1., 18/21)</v>
      </c>
    </row>
    <row r="362" spans="1:43" x14ac:dyDescent="0.2">
      <c r="A362" s="1"/>
      <c r="B362" s="9">
        <f t="shared" si="74"/>
        <v>356</v>
      </c>
      <c r="C362" s="10"/>
      <c r="D362" s="9" t="s">
        <v>352</v>
      </c>
      <c r="E362" s="10"/>
      <c r="F362" s="11"/>
      <c r="G362" s="12"/>
      <c r="H362" s="11"/>
      <c r="I362" s="12">
        <v>43466</v>
      </c>
      <c r="J362" s="11">
        <v>43466</v>
      </c>
      <c r="K362" s="12">
        <v>43466</v>
      </c>
      <c r="L362" s="11">
        <v>43466</v>
      </c>
      <c r="M362" s="12">
        <v>43466</v>
      </c>
      <c r="N362" s="11">
        <v>43466</v>
      </c>
      <c r="O362" s="12">
        <v>43466</v>
      </c>
      <c r="P362" s="11">
        <v>43466</v>
      </c>
      <c r="Q362" s="12">
        <v>43466</v>
      </c>
      <c r="R362" s="11">
        <v>43466</v>
      </c>
      <c r="S362" s="12">
        <v>43466</v>
      </c>
      <c r="T362" s="11">
        <v>43466</v>
      </c>
      <c r="U362" s="12">
        <v>43466</v>
      </c>
      <c r="V362" s="11">
        <v>43466</v>
      </c>
      <c r="W362" s="12">
        <v>43466</v>
      </c>
      <c r="X362" s="11">
        <v>43466</v>
      </c>
      <c r="Y362" s="12">
        <v>43466</v>
      </c>
      <c r="Z362" s="11">
        <v>43466</v>
      </c>
      <c r="AA362" s="12">
        <v>43466</v>
      </c>
      <c r="AB362" s="11">
        <v>43466</v>
      </c>
      <c r="AC362" s="12">
        <v>43466</v>
      </c>
      <c r="AD362" s="34"/>
      <c r="AE362" s="33">
        <f t="shared" si="66"/>
        <v>43466</v>
      </c>
      <c r="AF362" s="33">
        <f t="shared" si="67"/>
        <v>43466</v>
      </c>
      <c r="AG362" s="33">
        <f t="shared" si="68"/>
        <v>43466</v>
      </c>
      <c r="AH362">
        <v>450</v>
      </c>
      <c r="AK362" s="36" t="str">
        <f t="shared" si="69"/>
        <v/>
      </c>
      <c r="AL362">
        <f t="shared" si="70"/>
        <v>18</v>
      </c>
      <c r="AM362">
        <v>18</v>
      </c>
      <c r="AN362">
        <f t="shared" si="71"/>
        <v>0</v>
      </c>
      <c r="AO362" t="str">
        <f t="shared" si="65"/>
        <v>1.1.---1.1.---1.1.</v>
      </c>
      <c r="AP362" t="str">
        <f t="shared" si="72"/>
        <v>Pikkuvarpunen</v>
      </c>
      <c r="AQ362" t="str">
        <f t="shared" si="73"/>
        <v>(1.1.---1.1.---1.1., 18/21)</v>
      </c>
    </row>
    <row r="363" spans="1:43" x14ac:dyDescent="0.2">
      <c r="A363" s="1"/>
      <c r="B363" s="9">
        <f t="shared" si="74"/>
        <v>357</v>
      </c>
      <c r="C363" s="10"/>
      <c r="D363" s="9" t="s">
        <v>353</v>
      </c>
      <c r="E363" s="10"/>
      <c r="F363" s="11">
        <f>IF(AG1,DATE(2019,1,16),DATE(2019,3,30))</f>
        <v>43554</v>
      </c>
      <c r="G363" s="12">
        <f>IF(AG1,DATE(2019,1,1),DATE(2019,4,1))</f>
        <v>43556</v>
      </c>
      <c r="H363" s="11">
        <f>IF(AG1,DATE(2019,1,1),DATE(2019,3,15))</f>
        <v>43539</v>
      </c>
      <c r="I363" s="12">
        <f>IF(AG1,DATE(2019,1,1),DATE(2019,3,25))</f>
        <v>43549</v>
      </c>
      <c r="J363" s="11">
        <f>IF(AG1,DATE(2019,1,1),DATE(2019,3,19))</f>
        <v>43543</v>
      </c>
      <c r="K363" s="12">
        <f>IF(AG1,DATE(2019,1,1),DATE(2019,3,24))</f>
        <v>43548</v>
      </c>
      <c r="L363" s="11">
        <f>IF(AG1,DATE(2019,1,1),DATE(2019,4,7))</f>
        <v>43562</v>
      </c>
      <c r="M363" s="12">
        <f>IF(AG1,DATE(2019,1,1),DATE(2019,3,8))</f>
        <v>43532</v>
      </c>
      <c r="N363" s="11">
        <f>IF(AG1,DATE(2019,1,5),DATE(2019,3,27))</f>
        <v>43551</v>
      </c>
      <c r="O363" s="12">
        <f>IF(AG1,DATE(2019,1,1),DATE(2019,3,17))</f>
        <v>43541</v>
      </c>
      <c r="P363" s="11">
        <f>IF(AG1,DATE(2019,1,1),DATE(2019,4,1))</f>
        <v>43556</v>
      </c>
      <c r="Q363" s="12">
        <f>IF(AG1,DATE(2019,1,1),DATE(2019,4,1))</f>
        <v>43556</v>
      </c>
      <c r="R363" s="11">
        <f>IF(AG1,DATE(2019,1,1),DATE(2019,3,24))</f>
        <v>43548</v>
      </c>
      <c r="S363" s="12">
        <f>IF(AG1,DATE(2019,1,1),DATE(2019,3,21))</f>
        <v>43545</v>
      </c>
      <c r="T363" s="11">
        <f>IF(AG1,DATE(2019,1,1),DATE(2019,3,23))</f>
        <v>43547</v>
      </c>
      <c r="U363" s="12">
        <f>IF(AG1,DATE(2019,1,1),DATE(2019,3,1))</f>
        <v>43525</v>
      </c>
      <c r="V363" s="11">
        <f>IF(AG1,DATE(2019,1,1),DATE(2019,3,26))</f>
        <v>43550</v>
      </c>
      <c r="W363" s="12">
        <f>IF(AG1,DATE(2019,1,1),DATE(2019,3,7))</f>
        <v>43531</v>
      </c>
      <c r="X363" s="11">
        <f>IF(AG1,DATE(2019,1,1),DATE(2019,3,17))</f>
        <v>43541</v>
      </c>
      <c r="Y363" s="12">
        <f>IF(AG1,DATE(2019,1,1),DATE(2019,3,20))</f>
        <v>43544</v>
      </c>
      <c r="Z363" s="11">
        <f>IF(AG1,DATE(2019,1,1),DATE(2019,3,18))</f>
        <v>43542</v>
      </c>
      <c r="AA363" s="12">
        <v>43466</v>
      </c>
      <c r="AB363" s="11">
        <f>IF(AF1,DATE(2019,1,1),DATE(2019,3,1))</f>
        <v>43525</v>
      </c>
      <c r="AC363" s="12">
        <f>IF(AG1,DATE(2019,1,1),DATE(2019,3,18))</f>
        <v>43542</v>
      </c>
      <c r="AD363" s="34"/>
      <c r="AE363" s="33">
        <f t="shared" si="66"/>
        <v>43466</v>
      </c>
      <c r="AF363" s="33">
        <f t="shared" si="67"/>
        <v>43544.5</v>
      </c>
      <c r="AG363" s="33">
        <f t="shared" si="68"/>
        <v>43562</v>
      </c>
      <c r="AH363">
        <v>451</v>
      </c>
      <c r="AK363" s="36" t="str">
        <f t="shared" si="69"/>
        <v/>
      </c>
      <c r="AL363" t="str">
        <f t="shared" si="70"/>
        <v/>
      </c>
      <c r="AM363">
        <v>21</v>
      </c>
      <c r="AN363">
        <f t="shared" si="71"/>
        <v>96</v>
      </c>
      <c r="AO363" t="str">
        <f t="shared" si="65"/>
        <v>1.1.---20.3.---7.4.</v>
      </c>
      <c r="AP363" t="str">
        <f t="shared" si="72"/>
        <v>Peippo</v>
      </c>
      <c r="AQ363" t="str">
        <f t="shared" si="73"/>
        <v>(1.1.---20.3.---7.4., 21/21)</v>
      </c>
    </row>
    <row r="364" spans="1:43" x14ac:dyDescent="0.2">
      <c r="A364" s="1"/>
      <c r="B364" s="9">
        <f t="shared" si="74"/>
        <v>358</v>
      </c>
      <c r="C364" s="10"/>
      <c r="D364" s="9" t="s">
        <v>354</v>
      </c>
      <c r="E364" s="10"/>
      <c r="F364" s="11">
        <v>43565</v>
      </c>
      <c r="G364" s="12">
        <f>IF(AG1,DATE(2019,1,1),DATE(2019,4,7))</f>
        <v>43562</v>
      </c>
      <c r="H364" s="11">
        <f>IF(AG1,DATE(2019,1,9),DATE(2019,3,26))</f>
        <v>43550</v>
      </c>
      <c r="I364" s="12">
        <f>IF(AG1,DATE(2019,1,12),DATE(2019,4,12))</f>
        <v>43567</v>
      </c>
      <c r="J364" s="11">
        <f>IF(AG1,DATE(2019,1,2),DATE(2019,4,7))</f>
        <v>43562</v>
      </c>
      <c r="K364" s="12">
        <f>IF(AG1,DATE(2019,1,7),DATE(2019,3,13))</f>
        <v>43537</v>
      </c>
      <c r="L364" s="11">
        <f>IF(AG1,DATE(2019,1,1),DATE(2019,3,27))</f>
        <v>43551</v>
      </c>
      <c r="M364" s="12">
        <f>IF(AG1,DATE(2019,1,1),DATE(2019,3,30))</f>
        <v>43554</v>
      </c>
      <c r="N364" s="11">
        <f>IF(AG1,DATE(2019,1,1),DATE(2019,4,6))</f>
        <v>43561</v>
      </c>
      <c r="O364" s="12">
        <f>IF(AG1,DATE(2019,1,1),DATE(2019,4,5))</f>
        <v>43560</v>
      </c>
      <c r="P364" s="11">
        <f>IF(AG1,DATE(2019,1,1),DATE(2019,4,5))</f>
        <v>43560</v>
      </c>
      <c r="Q364" s="12">
        <f>IF(AG1,DATE(2019,1,1),DATE(2019,4,7))</f>
        <v>43562</v>
      </c>
      <c r="R364" s="11">
        <f>IF(AG1,DATE(2019,1,3),DATE(2019,4,10))</f>
        <v>43565</v>
      </c>
      <c r="S364" s="12">
        <f>IF(AG1,DATE(2019,1,1),DATE(2019,4,11))</f>
        <v>43566</v>
      </c>
      <c r="T364" s="11">
        <f>IF(AG1,DATE(2019,1,8),DATE(2019,3,25))</f>
        <v>43549</v>
      </c>
      <c r="U364" s="12">
        <f>IF(AG1,DATE(2019,1,2),DATE(2019,3,15))</f>
        <v>43539</v>
      </c>
      <c r="V364" s="11">
        <f>IF(AG1,DATE(2019,2,13),DATE(2019,4,3))</f>
        <v>43558</v>
      </c>
      <c r="W364" s="12">
        <f>IF(AG1,DATE(2019,1,2),DATE(2019,3,27))</f>
        <v>43551</v>
      </c>
      <c r="X364" s="11">
        <f>IF(AG1,DATE(2019,1,1),DATE(2019,3,16))</f>
        <v>43540</v>
      </c>
      <c r="Y364" s="12">
        <f>IF(AG1,DATE(2019,1,1),DATE(2019,3,10))</f>
        <v>43534</v>
      </c>
      <c r="Z364" s="11">
        <f>IF(AG1,DATE(2019,1,1),DATE(2019,3,14))</f>
        <v>43538</v>
      </c>
      <c r="AA364" s="12">
        <f>IF(AG1,DATE(2019,1,1),DATE(2019,3,27))</f>
        <v>43551</v>
      </c>
      <c r="AB364" s="11">
        <f>IF(AF1,DATE(2019,1,5),DATE(2019,3,9))</f>
        <v>43533</v>
      </c>
      <c r="AC364" s="12">
        <f>IF(AG1,DATE(2019,1,2),DATE(2019,4,1))</f>
        <v>43556</v>
      </c>
      <c r="AD364" s="34"/>
      <c r="AE364" s="33">
        <f t="shared" si="66"/>
        <v>43533</v>
      </c>
      <c r="AF364" s="33">
        <f t="shared" si="67"/>
        <v>43555</v>
      </c>
      <c r="AG364" s="33">
        <f t="shared" si="68"/>
        <v>43567</v>
      </c>
      <c r="AH364">
        <v>452</v>
      </c>
      <c r="AK364" s="36" t="str">
        <f t="shared" si="69"/>
        <v/>
      </c>
      <c r="AL364" t="str">
        <f t="shared" si="70"/>
        <v/>
      </c>
      <c r="AM364">
        <v>20</v>
      </c>
      <c r="AN364">
        <f t="shared" si="71"/>
        <v>34</v>
      </c>
      <c r="AO364" t="str">
        <f t="shared" si="65"/>
        <v>9.3.---31.3.---12.4.</v>
      </c>
      <c r="AP364" t="str">
        <f t="shared" si="72"/>
        <v>Järripeippo</v>
      </c>
      <c r="AQ364" t="str">
        <f t="shared" si="73"/>
        <v>(9.3.---31.3.---12.4., 20/21)</v>
      </c>
    </row>
    <row r="365" spans="1:43" x14ac:dyDescent="0.2">
      <c r="A365" s="1"/>
      <c r="B365" s="9">
        <f t="shared" si="74"/>
        <v>359</v>
      </c>
      <c r="C365" s="10"/>
      <c r="D365" s="13" t="s">
        <v>355</v>
      </c>
      <c r="E365" s="14"/>
      <c r="F365" s="11"/>
      <c r="G365" s="12"/>
      <c r="H365" s="11"/>
      <c r="I365" s="12"/>
      <c r="J365" s="11">
        <v>43581</v>
      </c>
      <c r="K365" s="12"/>
      <c r="L365" s="11"/>
      <c r="M365" s="12"/>
      <c r="N365" s="11"/>
      <c r="O365" s="12"/>
      <c r="P365" s="11"/>
      <c r="Q365" s="12">
        <v>43596</v>
      </c>
      <c r="R365" s="11"/>
      <c r="S365" s="12"/>
      <c r="T365" s="11"/>
      <c r="U365" s="12"/>
      <c r="V365" s="11">
        <v>43623</v>
      </c>
      <c r="W365" s="12">
        <v>43587</v>
      </c>
      <c r="X365" s="11">
        <v>43591</v>
      </c>
      <c r="Y365" s="12"/>
      <c r="Z365" s="11">
        <v>43721</v>
      </c>
      <c r="AA365" s="12">
        <v>43792</v>
      </c>
      <c r="AB365" s="11">
        <v>43466</v>
      </c>
      <c r="AC365" s="12" t="s">
        <v>393</v>
      </c>
      <c r="AD365" s="34"/>
      <c r="AE365" s="33">
        <f t="shared" si="66"/>
        <v>43466</v>
      </c>
      <c r="AF365" s="33">
        <f t="shared" si="67"/>
        <v>43593.5</v>
      </c>
      <c r="AG365" s="33">
        <f t="shared" si="68"/>
        <v>43792</v>
      </c>
      <c r="AH365">
        <v>453</v>
      </c>
      <c r="AK365" s="36" t="str">
        <f t="shared" si="69"/>
        <v/>
      </c>
      <c r="AL365" t="str">
        <f t="shared" si="70"/>
        <v/>
      </c>
      <c r="AM365" t="s">
        <v>393</v>
      </c>
      <c r="AN365">
        <f t="shared" si="71"/>
        <v>326</v>
      </c>
      <c r="AO365" t="str">
        <f t="shared" si="65"/>
        <v>1.1.---8.5.---23.11.</v>
      </c>
      <c r="AP365" t="str">
        <f t="shared" si="72"/>
        <v>Keltahemppo</v>
      </c>
      <c r="AQ365" t="str">
        <f t="shared" si="73"/>
        <v>(1.1.---8.5.---23.11.)</v>
      </c>
    </row>
    <row r="366" spans="1:43" x14ac:dyDescent="0.2">
      <c r="A366" s="1"/>
      <c r="B366" s="9">
        <f t="shared" si="74"/>
        <v>360</v>
      </c>
      <c r="C366" s="10"/>
      <c r="D366" s="9" t="s">
        <v>356</v>
      </c>
      <c r="E366" s="10"/>
      <c r="F366" s="11"/>
      <c r="G366" s="12"/>
      <c r="H366" s="11"/>
      <c r="I366" s="12">
        <v>43466</v>
      </c>
      <c r="J366" s="11">
        <v>43466</v>
      </c>
      <c r="K366" s="12">
        <v>43466</v>
      </c>
      <c r="L366" s="11">
        <v>43466</v>
      </c>
      <c r="M366" s="12">
        <v>43466</v>
      </c>
      <c r="N366" s="11">
        <v>43466</v>
      </c>
      <c r="O366" s="12">
        <v>43466</v>
      </c>
      <c r="P366" s="11">
        <v>43466</v>
      </c>
      <c r="Q366" s="12">
        <v>43466</v>
      </c>
      <c r="R366" s="11">
        <v>43466</v>
      </c>
      <c r="S366" s="12">
        <v>43466</v>
      </c>
      <c r="T366" s="11">
        <v>43466</v>
      </c>
      <c r="U366" s="12">
        <v>43466</v>
      </c>
      <c r="V366" s="11">
        <v>43466</v>
      </c>
      <c r="W366" s="12">
        <v>43466</v>
      </c>
      <c r="X366" s="11">
        <v>43466</v>
      </c>
      <c r="Y366" s="12">
        <v>43466</v>
      </c>
      <c r="Z366" s="11">
        <v>43466</v>
      </c>
      <c r="AA366" s="12">
        <v>43466</v>
      </c>
      <c r="AB366" s="11">
        <v>43466</v>
      </c>
      <c r="AC366" s="12">
        <v>43466</v>
      </c>
      <c r="AD366" s="34"/>
      <c r="AE366" s="33">
        <f t="shared" si="66"/>
        <v>43466</v>
      </c>
      <c r="AF366" s="33">
        <f t="shared" si="67"/>
        <v>43466</v>
      </c>
      <c r="AG366" s="33">
        <f t="shared" si="68"/>
        <v>43466</v>
      </c>
      <c r="AH366">
        <v>455</v>
      </c>
      <c r="AK366" s="36" t="str">
        <f t="shared" si="69"/>
        <v/>
      </c>
      <c r="AL366">
        <f t="shared" si="70"/>
        <v>18</v>
      </c>
      <c r="AM366">
        <v>18</v>
      </c>
      <c r="AN366">
        <f t="shared" si="71"/>
        <v>0</v>
      </c>
      <c r="AO366" t="str">
        <f t="shared" si="65"/>
        <v>1.1.---1.1.---1.1.</v>
      </c>
      <c r="AP366" t="str">
        <f t="shared" si="72"/>
        <v>Viherpeippo</v>
      </c>
      <c r="AQ366" t="str">
        <f t="shared" si="73"/>
        <v>(1.1.---1.1.---1.1., 18/21)</v>
      </c>
    </row>
    <row r="367" spans="1:43" x14ac:dyDescent="0.2">
      <c r="A367" s="1"/>
      <c r="B367" s="9">
        <f t="shared" si="74"/>
        <v>361</v>
      </c>
      <c r="C367" s="10"/>
      <c r="D367" s="9" t="s">
        <v>357</v>
      </c>
      <c r="E367" s="10"/>
      <c r="F367" s="11">
        <v>43466</v>
      </c>
      <c r="G367" s="12">
        <v>43466</v>
      </c>
      <c r="H367" s="11">
        <v>43466</v>
      </c>
      <c r="I367" s="12">
        <v>43466</v>
      </c>
      <c r="J367" s="11">
        <v>43466</v>
      </c>
      <c r="K367" s="12">
        <v>43466</v>
      </c>
      <c r="L367" s="11">
        <v>43466</v>
      </c>
      <c r="M367" s="12">
        <v>43466</v>
      </c>
      <c r="N367" s="11">
        <v>43466</v>
      </c>
      <c r="O367" s="12">
        <v>43466</v>
      </c>
      <c r="P367" s="11">
        <v>43466</v>
      </c>
      <c r="Q367" s="12">
        <v>43466</v>
      </c>
      <c r="R367" s="11">
        <v>43466</v>
      </c>
      <c r="S367" s="12">
        <v>43468</v>
      </c>
      <c r="T367" s="11">
        <v>43466</v>
      </c>
      <c r="U367" s="12">
        <v>43466</v>
      </c>
      <c r="V367" s="11">
        <v>43466</v>
      </c>
      <c r="W367" s="12">
        <v>43466</v>
      </c>
      <c r="X367" s="11">
        <v>43466</v>
      </c>
      <c r="Y367" s="12">
        <v>43466</v>
      </c>
      <c r="Z367" s="11">
        <v>43466</v>
      </c>
      <c r="AA367" s="12">
        <v>43466</v>
      </c>
      <c r="AB367" s="11">
        <v>43466</v>
      </c>
      <c r="AC367" s="12">
        <v>43466</v>
      </c>
      <c r="AD367" s="34"/>
      <c r="AE367" s="33">
        <f t="shared" si="66"/>
        <v>43466</v>
      </c>
      <c r="AF367" s="33">
        <f t="shared" si="67"/>
        <v>43466</v>
      </c>
      <c r="AG367" s="33">
        <f t="shared" si="68"/>
        <v>43468</v>
      </c>
      <c r="AH367">
        <v>456</v>
      </c>
      <c r="AK367" s="36" t="str">
        <f t="shared" si="69"/>
        <v/>
      </c>
      <c r="AL367">
        <f t="shared" si="70"/>
        <v>21</v>
      </c>
      <c r="AM367">
        <v>21</v>
      </c>
      <c r="AN367">
        <f t="shared" si="71"/>
        <v>2</v>
      </c>
      <c r="AO367" t="str">
        <f t="shared" si="65"/>
        <v>1.1.---1.1.---3.1.</v>
      </c>
      <c r="AP367" t="str">
        <f t="shared" si="72"/>
        <v>Tikli</v>
      </c>
      <c r="AQ367" t="str">
        <f t="shared" si="73"/>
        <v>(1.1.---1.1.---3.1., 21/21)</v>
      </c>
    </row>
    <row r="368" spans="1:43" x14ac:dyDescent="0.2">
      <c r="A368" s="1"/>
      <c r="B368" s="9">
        <f t="shared" si="74"/>
        <v>362</v>
      </c>
      <c r="C368" s="10"/>
      <c r="D368" s="18" t="s">
        <v>358</v>
      </c>
      <c r="E368" s="10"/>
      <c r="F368" s="11">
        <f>IF(AG1,DATE(2019,1,13),DATE(2019,4,18))</f>
        <v>43573</v>
      </c>
      <c r="G368" s="12">
        <f>IF(AG1,DATE(2019,1,1),DATE(2019,3,1))</f>
        <v>43525</v>
      </c>
      <c r="H368" s="11">
        <f>IF(AG1,DATE(2019,1,5),DATE(2019,4,10))</f>
        <v>43565</v>
      </c>
      <c r="I368" s="12">
        <f>IF(AG1,DATE(2019,1,1),DATE(2019,3,17))</f>
        <v>43541</v>
      </c>
      <c r="J368" s="11">
        <f>IF(AG1,DATE(2019,1,1),DATE(2019,3,8))</f>
        <v>43532</v>
      </c>
      <c r="K368" s="12">
        <f>IF(AG1,DATE(2019,1,2),DATE(2019,3,18))</f>
        <v>43542</v>
      </c>
      <c r="L368" s="11">
        <f>IF(AG1,DATE(2019,1,1),DATE(2019,4,7))</f>
        <v>43562</v>
      </c>
      <c r="M368" s="12">
        <f>IF(AG1,DATE(2019,1,1),DATE(2019,3,16))</f>
        <v>43540</v>
      </c>
      <c r="N368" s="11">
        <f>IF(AG1,DATE(2019,1,1),DATE(2019,3,10))</f>
        <v>43534</v>
      </c>
      <c r="O368" s="12">
        <f>IF(AG1,DATE(2019,1,1),DATE(2019,3,10))</f>
        <v>43534</v>
      </c>
      <c r="P368" s="11">
        <f>IF(AG1,DATE(2019,1,4),DATE(2019,3,8))</f>
        <v>43532</v>
      </c>
      <c r="Q368" s="12">
        <f>IF(AG1,DATE(2019,1,1),DATE(2019,3,29))</f>
        <v>43553</v>
      </c>
      <c r="R368" s="11">
        <f>IF(AG1,DATE(2019,1,6),DATE(2019,3,14))</f>
        <v>43538</v>
      </c>
      <c r="S368" s="12">
        <f>IF(AG1,DATE(2019,1,1),DATE(2019,3,15))</f>
        <v>43539</v>
      </c>
      <c r="T368" s="11">
        <f>IF(AG1,DATE(2019,1,7),DATE(2019,3,13))</f>
        <v>43537</v>
      </c>
      <c r="U368" s="12">
        <f>IF(AG1,DATE(2019,1,1),DATE(2019,3,14))</f>
        <v>43538</v>
      </c>
      <c r="V368" s="11">
        <f>IF(AG1,DATE(2019,1,1),DATE(2019,3,20))</f>
        <v>43544</v>
      </c>
      <c r="W368" s="12">
        <f>IF(AG1,DATE(2019,1,3),DATE(2019,3,11))</f>
        <v>43535</v>
      </c>
      <c r="X368" s="11">
        <f>IF(AG1,DATE(2019,1,4),DATE(2019,3,7))</f>
        <v>43531</v>
      </c>
      <c r="Y368" s="12">
        <f>IF(AG1,DATE(2019,1,19),DATE(2019,3,9))</f>
        <v>43533</v>
      </c>
      <c r="Z368" s="11">
        <f>IF(AG1,DATE(2019,1,1),DATE(2019,3,6))</f>
        <v>43530</v>
      </c>
      <c r="AA368" s="12">
        <f>IF(AG1,DATE(2019,1,18),DATE(2019,3,18))</f>
        <v>43542</v>
      </c>
      <c r="AB368" s="11">
        <f>IF(AF1,DATE(2019,1,2),DATE(2019,3,1))</f>
        <v>43525</v>
      </c>
      <c r="AC368" s="12">
        <f>IF(AG1,DATE(2019,1,1),DATE(2019,3,19))</f>
        <v>43543</v>
      </c>
      <c r="AD368" s="34"/>
      <c r="AE368" s="33">
        <f t="shared" si="66"/>
        <v>43525</v>
      </c>
      <c r="AF368" s="33">
        <f t="shared" si="67"/>
        <v>43538</v>
      </c>
      <c r="AG368" s="33">
        <f t="shared" si="68"/>
        <v>43573</v>
      </c>
      <c r="AH368">
        <v>457</v>
      </c>
      <c r="AK368" s="36" t="str">
        <f t="shared" si="69"/>
        <v/>
      </c>
      <c r="AL368" t="str">
        <f t="shared" si="70"/>
        <v/>
      </c>
      <c r="AM368">
        <v>21</v>
      </c>
      <c r="AN368">
        <f t="shared" si="71"/>
        <v>48</v>
      </c>
      <c r="AO368" t="str">
        <f t="shared" si="65"/>
        <v>1.3.---14.3.---18.4.</v>
      </c>
      <c r="AP368" t="str">
        <f t="shared" si="72"/>
        <v>Vihervarpunen</v>
      </c>
      <c r="AQ368" t="str">
        <f t="shared" si="73"/>
        <v>(1.3.---14.3.---18.4., 21/21)</v>
      </c>
    </row>
    <row r="369" spans="1:43" x14ac:dyDescent="0.2">
      <c r="A369" s="1"/>
      <c r="B369" s="9">
        <f t="shared" si="74"/>
        <v>363</v>
      </c>
      <c r="C369" s="10"/>
      <c r="D369" s="9" t="s">
        <v>359</v>
      </c>
      <c r="E369" s="10"/>
      <c r="F369" s="11">
        <v>43553</v>
      </c>
      <c r="G369" s="12">
        <f>IF(AG1,DATE(2019,1,14),DATE(2019,4,2))</f>
        <v>43557</v>
      </c>
      <c r="H369" s="11">
        <f>IF(AG1,DATE(2019,1,3),DATE(2019,3,26))</f>
        <v>43550</v>
      </c>
      <c r="I369" s="12">
        <f>IF(AG1,DATE(2019,1,7),DATE(2019,3,27))</f>
        <v>43551</v>
      </c>
      <c r="J369" s="11">
        <v>43558</v>
      </c>
      <c r="K369" s="12">
        <f>IF(AG1,DATE(2019,1,8),DATE(2019,4,4))</f>
        <v>43559</v>
      </c>
      <c r="L369" s="11">
        <v>43563</v>
      </c>
      <c r="M369" s="12">
        <f>IF(AG1,DATE(2019,1,1),DATE(2019,3,24))</f>
        <v>43548</v>
      </c>
      <c r="N369" s="11">
        <v>43560</v>
      </c>
      <c r="O369" s="12">
        <f>IF(AG1,DATE(2019,1,2),DATE(2019,4,5))</f>
        <v>43560</v>
      </c>
      <c r="P369" s="11">
        <f>IF(AG1,DATE(2019,2,25),DATE(2019,4,2))</f>
        <v>43557</v>
      </c>
      <c r="Q369" s="12">
        <v>43560</v>
      </c>
      <c r="R369" s="11">
        <v>43546</v>
      </c>
      <c r="S369" s="12">
        <v>43567</v>
      </c>
      <c r="T369" s="11">
        <f>IF(AG1,DATE(2019,1,5),DATE(2019,3,23))</f>
        <v>43547</v>
      </c>
      <c r="U369" s="12">
        <v>43539</v>
      </c>
      <c r="V369" s="11">
        <f>IF(AG1,DATE(2019,1,4),DATE(2019,3,28))</f>
        <v>43552</v>
      </c>
      <c r="W369" s="12">
        <v>43549</v>
      </c>
      <c r="X369" s="11">
        <f>IF(AG1,DATE(2019,1,1),DATE(2019,4,5))</f>
        <v>43560</v>
      </c>
      <c r="Y369" s="12">
        <f>IF(AG1,DATE(2019,1,6),DATE(2019,3,17))</f>
        <v>43541</v>
      </c>
      <c r="Z369" s="11">
        <f>IF(AG1,DATE(2019,1,2),DATE(2019,3,18))</f>
        <v>43542</v>
      </c>
      <c r="AA369" s="12">
        <f>IF(AG1,DATE(2019,1,6),DATE(2019,3,27))</f>
        <v>43551</v>
      </c>
      <c r="AB369" s="11">
        <v>43466</v>
      </c>
      <c r="AC369" s="12">
        <f>IF(AG1,DATE(2019,1,3),DATE(2019,4,1))</f>
        <v>43556</v>
      </c>
      <c r="AD369" s="34"/>
      <c r="AE369" s="33">
        <f t="shared" si="66"/>
        <v>43466</v>
      </c>
      <c r="AF369" s="33">
        <f t="shared" si="67"/>
        <v>43552.5</v>
      </c>
      <c r="AG369" s="33">
        <f t="shared" si="68"/>
        <v>43567</v>
      </c>
      <c r="AH369">
        <v>458</v>
      </c>
      <c r="AK369" s="36" t="str">
        <f t="shared" si="69"/>
        <v/>
      </c>
      <c r="AL369" t="str">
        <f t="shared" si="70"/>
        <v/>
      </c>
      <c r="AM369">
        <v>12</v>
      </c>
      <c r="AN369">
        <f t="shared" si="71"/>
        <v>101</v>
      </c>
      <c r="AO369" t="str">
        <f t="shared" si="65"/>
        <v>1.1.---28.3.---12.4.</v>
      </c>
      <c r="AP369" t="str">
        <f t="shared" si="72"/>
        <v>Hemppo</v>
      </c>
      <c r="AQ369" t="str">
        <f t="shared" si="73"/>
        <v>(1.1.---28.3.---12.4., 12/21)</v>
      </c>
    </row>
    <row r="370" spans="1:43" x14ac:dyDescent="0.2">
      <c r="A370" s="1"/>
      <c r="B370" s="9">
        <f t="shared" si="74"/>
        <v>364</v>
      </c>
      <c r="C370" s="10"/>
      <c r="D370" s="9" t="s">
        <v>360</v>
      </c>
      <c r="E370" s="10"/>
      <c r="F370" s="11">
        <v>43466</v>
      </c>
      <c r="G370" s="12">
        <v>43466</v>
      </c>
      <c r="H370" s="11">
        <v>43466</v>
      </c>
      <c r="I370" s="12">
        <v>43466</v>
      </c>
      <c r="J370" s="11">
        <v>43474</v>
      </c>
      <c r="K370" s="12">
        <v>43526</v>
      </c>
      <c r="L370" s="11">
        <v>43466</v>
      </c>
      <c r="M370" s="12">
        <v>43466</v>
      </c>
      <c r="N370" s="11">
        <v>43467</v>
      </c>
      <c r="O370" s="12">
        <v>43468</v>
      </c>
      <c r="P370" s="11">
        <v>43469</v>
      </c>
      <c r="Q370" s="12">
        <v>43562</v>
      </c>
      <c r="R370" s="11">
        <v>43467</v>
      </c>
      <c r="S370" s="12">
        <v>43467</v>
      </c>
      <c r="T370" s="11">
        <v>43477</v>
      </c>
      <c r="U370" s="12">
        <v>43466</v>
      </c>
      <c r="V370" s="11">
        <v>43469</v>
      </c>
      <c r="W370" s="12">
        <v>43479</v>
      </c>
      <c r="X370" s="11">
        <v>43486</v>
      </c>
      <c r="Y370" s="12">
        <v>43475</v>
      </c>
      <c r="Z370" s="11">
        <v>43502</v>
      </c>
      <c r="AA370" s="12">
        <v>43467</v>
      </c>
      <c r="AB370" s="11">
        <v>43558</v>
      </c>
      <c r="AC370" s="12">
        <f>IF(AG1,DATE(2019,1,1),DATE(2019,4,7))</f>
        <v>43562</v>
      </c>
      <c r="AD370" s="34"/>
      <c r="AE370" s="33">
        <f t="shared" si="66"/>
        <v>43466</v>
      </c>
      <c r="AF370" s="33">
        <f t="shared" si="67"/>
        <v>43468.5</v>
      </c>
      <c r="AG370" s="33">
        <f t="shared" si="68"/>
        <v>43562</v>
      </c>
      <c r="AH370">
        <v>459</v>
      </c>
      <c r="AK370" s="36" t="str">
        <f t="shared" si="69"/>
        <v/>
      </c>
      <c r="AL370">
        <f t="shared" si="70"/>
        <v>19</v>
      </c>
      <c r="AM370">
        <v>19</v>
      </c>
      <c r="AN370">
        <f t="shared" si="71"/>
        <v>96</v>
      </c>
      <c r="AO370" t="str">
        <f t="shared" si="65"/>
        <v>1.1.---3.1.---7.4.</v>
      </c>
      <c r="AP370" t="str">
        <f t="shared" si="72"/>
        <v>Vuorihemppo</v>
      </c>
      <c r="AQ370" t="str">
        <f t="shared" si="73"/>
        <v>(1.1.---3.1.---7.4., 19/21)</v>
      </c>
    </row>
    <row r="371" spans="1:43" x14ac:dyDescent="0.2">
      <c r="A371" s="1"/>
      <c r="B371" s="9">
        <f t="shared" si="74"/>
        <v>365</v>
      </c>
      <c r="C371" s="10"/>
      <c r="D371" s="9" t="s">
        <v>361</v>
      </c>
      <c r="E371" s="10"/>
      <c r="F371" s="11"/>
      <c r="G371" s="12">
        <v>43466</v>
      </c>
      <c r="H371" s="11">
        <v>43466</v>
      </c>
      <c r="I371" s="12">
        <v>43466</v>
      </c>
      <c r="J371" s="11">
        <v>43466</v>
      </c>
      <c r="K371" s="12">
        <v>43466</v>
      </c>
      <c r="L371" s="11">
        <v>43466</v>
      </c>
      <c r="M371" s="12">
        <v>43466</v>
      </c>
      <c r="N371" s="11">
        <v>43466</v>
      </c>
      <c r="O371" s="12">
        <v>43466</v>
      </c>
      <c r="P371" s="11">
        <v>43466</v>
      </c>
      <c r="Q371" s="12">
        <v>43466</v>
      </c>
      <c r="R371" s="11">
        <v>43466</v>
      </c>
      <c r="S371" s="12">
        <v>43466</v>
      </c>
      <c r="T371" s="11">
        <v>43466</v>
      </c>
      <c r="U371" s="12">
        <v>43466</v>
      </c>
      <c r="V371" s="11">
        <v>43466</v>
      </c>
      <c r="W371" s="12">
        <v>43466</v>
      </c>
      <c r="X371" s="11">
        <v>43466</v>
      </c>
      <c r="Y371" s="12">
        <v>43466</v>
      </c>
      <c r="Z371" s="11">
        <v>43466</v>
      </c>
      <c r="AA371" s="12">
        <v>43466</v>
      </c>
      <c r="AB371" s="11">
        <v>43466</v>
      </c>
      <c r="AC371" s="12">
        <v>43466</v>
      </c>
      <c r="AD371" s="34"/>
      <c r="AE371" s="33">
        <f t="shared" si="66"/>
        <v>43466</v>
      </c>
      <c r="AF371" s="33">
        <f t="shared" si="67"/>
        <v>43466</v>
      </c>
      <c r="AG371" s="33">
        <f t="shared" si="68"/>
        <v>43466</v>
      </c>
      <c r="AH371">
        <v>460</v>
      </c>
      <c r="AK371" s="36" t="str">
        <f t="shared" si="69"/>
        <v/>
      </c>
      <c r="AL371">
        <f t="shared" si="70"/>
        <v>20</v>
      </c>
      <c r="AM371">
        <v>20</v>
      </c>
      <c r="AN371">
        <f t="shared" si="71"/>
        <v>0</v>
      </c>
      <c r="AO371" t="str">
        <f t="shared" si="65"/>
        <v>1.1.---1.1.---1.1.</v>
      </c>
      <c r="AP371" t="str">
        <f t="shared" si="72"/>
        <v>Urpiainen</v>
      </c>
      <c r="AQ371" t="str">
        <f t="shared" si="73"/>
        <v>(1.1.---1.1.---1.1., 20/21)</v>
      </c>
    </row>
    <row r="372" spans="1:43" x14ac:dyDescent="0.2">
      <c r="A372" s="1"/>
      <c r="B372" s="9">
        <f t="shared" si="74"/>
        <v>366</v>
      </c>
      <c r="C372" s="10"/>
      <c r="D372" s="9" t="s">
        <v>362</v>
      </c>
      <c r="E372" s="10"/>
      <c r="F372" s="11">
        <v>43467</v>
      </c>
      <c r="G372" s="12">
        <v>43482</v>
      </c>
      <c r="H372" s="11">
        <v>43466</v>
      </c>
      <c r="I372" s="12">
        <v>43466</v>
      </c>
      <c r="J372" s="11">
        <v>43466</v>
      </c>
      <c r="K372" s="12">
        <v>43466</v>
      </c>
      <c r="L372" s="11">
        <v>43466</v>
      </c>
      <c r="M372" s="12">
        <v>43466</v>
      </c>
      <c r="N372" s="11">
        <v>43466</v>
      </c>
      <c r="O372" s="12">
        <v>43466</v>
      </c>
      <c r="P372" s="11">
        <v>43469</v>
      </c>
      <c r="Q372" s="12">
        <v>43466</v>
      </c>
      <c r="R372" s="11">
        <v>43472</v>
      </c>
      <c r="S372" s="12">
        <v>43466</v>
      </c>
      <c r="T372" s="11">
        <v>43466</v>
      </c>
      <c r="U372" s="12">
        <v>43467</v>
      </c>
      <c r="V372" s="11">
        <v>43466</v>
      </c>
      <c r="W372" s="12">
        <v>43466</v>
      </c>
      <c r="X372" s="11">
        <v>43466</v>
      </c>
      <c r="Y372" s="12">
        <v>43466</v>
      </c>
      <c r="Z372" s="11">
        <v>43466</v>
      </c>
      <c r="AA372" s="12">
        <v>43466</v>
      </c>
      <c r="AB372" s="11">
        <v>43476</v>
      </c>
      <c r="AC372" s="12">
        <v>43466</v>
      </c>
      <c r="AD372" s="34"/>
      <c r="AE372" s="33">
        <f t="shared" si="66"/>
        <v>43466</v>
      </c>
      <c r="AF372" s="33">
        <f t="shared" si="67"/>
        <v>43466</v>
      </c>
      <c r="AG372" s="33">
        <f t="shared" si="68"/>
        <v>43482</v>
      </c>
      <c r="AH372">
        <v>461</v>
      </c>
      <c r="AK372" s="36" t="str">
        <f t="shared" si="69"/>
        <v/>
      </c>
      <c r="AL372">
        <f t="shared" si="70"/>
        <v>21</v>
      </c>
      <c r="AM372">
        <v>21</v>
      </c>
      <c r="AN372">
        <f t="shared" si="71"/>
        <v>16</v>
      </c>
      <c r="AO372" t="str">
        <f t="shared" si="65"/>
        <v>1.1.---1.1.---17.1.</v>
      </c>
      <c r="AP372" t="str">
        <f t="shared" si="72"/>
        <v>Tundraurpiainen</v>
      </c>
      <c r="AQ372" t="str">
        <f t="shared" si="73"/>
        <v>(1.1.---1.1.---17.1., 21/21)</v>
      </c>
    </row>
    <row r="373" spans="1:43" x14ac:dyDescent="0.2">
      <c r="A373" s="1"/>
      <c r="B373" s="9">
        <f t="shared" si="74"/>
        <v>367</v>
      </c>
      <c r="C373" s="10"/>
      <c r="D373" s="9" t="s">
        <v>363</v>
      </c>
      <c r="E373" s="10"/>
      <c r="F373" s="11">
        <v>43549</v>
      </c>
      <c r="G373" s="12">
        <v>43485</v>
      </c>
      <c r="H373" s="11">
        <v>43612</v>
      </c>
      <c r="I373" s="12">
        <v>43466</v>
      </c>
      <c r="J373" s="11">
        <v>43476</v>
      </c>
      <c r="K373" s="12">
        <v>43466</v>
      </c>
      <c r="L373" s="11">
        <v>43494</v>
      </c>
      <c r="M373" s="12">
        <v>43471</v>
      </c>
      <c r="N373" s="11">
        <v>43589</v>
      </c>
      <c r="O373" s="12">
        <v>43466</v>
      </c>
      <c r="P373" s="11">
        <v>43556</v>
      </c>
      <c r="Q373" s="12">
        <v>43472</v>
      </c>
      <c r="R373" s="11">
        <v>43467</v>
      </c>
      <c r="S373" s="12">
        <v>43478</v>
      </c>
      <c r="T373" s="11">
        <v>43572</v>
      </c>
      <c r="U373" s="12">
        <v>43495</v>
      </c>
      <c r="V373" s="11">
        <v>43480</v>
      </c>
      <c r="W373" s="12">
        <v>43521</v>
      </c>
      <c r="X373" s="11">
        <v>43473</v>
      </c>
      <c r="Y373" s="12">
        <v>43467</v>
      </c>
      <c r="Z373" s="11">
        <v>43472</v>
      </c>
      <c r="AA373" s="12">
        <v>43473</v>
      </c>
      <c r="AB373" s="11">
        <v>43466</v>
      </c>
      <c r="AC373" s="12">
        <v>43514</v>
      </c>
      <c r="AD373" s="34"/>
      <c r="AE373" s="33">
        <f t="shared" si="66"/>
        <v>43466</v>
      </c>
      <c r="AF373" s="33">
        <f t="shared" si="67"/>
        <v>43477</v>
      </c>
      <c r="AG373" s="33">
        <f t="shared" si="68"/>
        <v>43612</v>
      </c>
      <c r="AH373">
        <v>462</v>
      </c>
      <c r="AK373" s="36" t="str">
        <f t="shared" si="69"/>
        <v/>
      </c>
      <c r="AL373">
        <f t="shared" si="70"/>
        <v>16</v>
      </c>
      <c r="AM373">
        <v>16</v>
      </c>
      <c r="AN373">
        <f t="shared" si="71"/>
        <v>146</v>
      </c>
      <c r="AO373" t="str">
        <f t="shared" si="65"/>
        <v>1.1.---12.1.---27.5.</v>
      </c>
      <c r="AP373" t="str">
        <f t="shared" si="72"/>
        <v>Kirjosiipikäpylintu</v>
      </c>
      <c r="AQ373" t="str">
        <f t="shared" si="73"/>
        <v>(1.1.---12.1.---27.5., 16/21)</v>
      </c>
    </row>
    <row r="374" spans="1:43" x14ac:dyDescent="0.2">
      <c r="A374" s="1"/>
      <c r="B374" s="9">
        <f t="shared" si="74"/>
        <v>368</v>
      </c>
      <c r="C374" s="10"/>
      <c r="D374" s="9" t="s">
        <v>364</v>
      </c>
      <c r="E374" s="10"/>
      <c r="F374" s="11">
        <v>43469</v>
      </c>
      <c r="G374" s="12">
        <v>43485</v>
      </c>
      <c r="H374" s="11">
        <v>43466</v>
      </c>
      <c r="I374" s="12">
        <v>43466</v>
      </c>
      <c r="J374" s="11">
        <v>43472</v>
      </c>
      <c r="K374" s="12">
        <v>43466</v>
      </c>
      <c r="L374" s="11">
        <v>43478</v>
      </c>
      <c r="M374" s="12">
        <v>43466</v>
      </c>
      <c r="N374" s="11">
        <v>43479</v>
      </c>
      <c r="O374" s="12">
        <v>43466</v>
      </c>
      <c r="P374" s="11">
        <v>43475</v>
      </c>
      <c r="Q374" s="12">
        <v>43466</v>
      </c>
      <c r="R374" s="11">
        <v>43467</v>
      </c>
      <c r="S374" s="12">
        <v>43466</v>
      </c>
      <c r="T374" s="11">
        <v>43469</v>
      </c>
      <c r="U374" s="12">
        <v>43478</v>
      </c>
      <c r="V374" s="11">
        <v>43474</v>
      </c>
      <c r="W374" s="12">
        <v>43467</v>
      </c>
      <c r="X374" s="11">
        <v>43474</v>
      </c>
      <c r="Y374" s="12">
        <v>43466</v>
      </c>
      <c r="Z374" s="11">
        <v>43475</v>
      </c>
      <c r="AA374" s="12">
        <v>43466</v>
      </c>
      <c r="AB374" s="11">
        <v>43466</v>
      </c>
      <c r="AC374" s="12">
        <v>43471</v>
      </c>
      <c r="AD374" s="34"/>
      <c r="AE374" s="33">
        <f t="shared" si="66"/>
        <v>43466</v>
      </c>
      <c r="AF374" s="33">
        <f t="shared" si="67"/>
        <v>43468</v>
      </c>
      <c r="AG374" s="33">
        <f t="shared" si="68"/>
        <v>43485</v>
      </c>
      <c r="AH374">
        <v>463</v>
      </c>
      <c r="AK374" s="36" t="str">
        <f t="shared" si="69"/>
        <v/>
      </c>
      <c r="AL374">
        <f t="shared" si="70"/>
        <v>21</v>
      </c>
      <c r="AM374">
        <v>21</v>
      </c>
      <c r="AN374">
        <f t="shared" si="71"/>
        <v>19</v>
      </c>
      <c r="AO374" t="str">
        <f t="shared" si="65"/>
        <v>1.1.---3.1.---20.1.</v>
      </c>
      <c r="AP374" t="str">
        <f t="shared" si="72"/>
        <v>Pikkukäpylintu</v>
      </c>
      <c r="AQ374" t="str">
        <f t="shared" si="73"/>
        <v>(1.1.---3.1.---20.1., 21/21)</v>
      </c>
    </row>
    <row r="375" spans="1:43" x14ac:dyDescent="0.2">
      <c r="A375" s="1"/>
      <c r="B375" s="9">
        <f t="shared" si="74"/>
        <v>369</v>
      </c>
      <c r="C375" s="10"/>
      <c r="D375" s="9" t="s">
        <v>365</v>
      </c>
      <c r="E375" s="10"/>
      <c r="F375" s="11">
        <v>43470</v>
      </c>
      <c r="G375" s="12">
        <v>43476</v>
      </c>
      <c r="H375" s="11">
        <v>43482</v>
      </c>
      <c r="I375" s="12">
        <v>43466</v>
      </c>
      <c r="J375" s="11">
        <v>43473</v>
      </c>
      <c r="K375" s="12">
        <v>43467</v>
      </c>
      <c r="L375" s="11">
        <v>43535</v>
      </c>
      <c r="M375" s="12">
        <v>43471</v>
      </c>
      <c r="N375" s="11">
        <v>43483</v>
      </c>
      <c r="O375" s="12">
        <v>43467</v>
      </c>
      <c r="P375" s="11">
        <v>43496</v>
      </c>
      <c r="Q375" s="12">
        <v>43466</v>
      </c>
      <c r="R375" s="11">
        <v>43523</v>
      </c>
      <c r="S375" s="12">
        <v>43468</v>
      </c>
      <c r="T375" s="11">
        <v>43466</v>
      </c>
      <c r="U375" s="12">
        <v>43512</v>
      </c>
      <c r="V375" s="11">
        <v>43536</v>
      </c>
      <c r="W375" s="12">
        <v>43466</v>
      </c>
      <c r="X375" s="11">
        <v>43501</v>
      </c>
      <c r="Y375" s="12">
        <v>43466</v>
      </c>
      <c r="Z375" s="11">
        <v>43521</v>
      </c>
      <c r="AA375" s="12">
        <v>43466</v>
      </c>
      <c r="AB375" s="11">
        <v>43466</v>
      </c>
      <c r="AC375" s="12">
        <v>43469</v>
      </c>
      <c r="AD375" s="34"/>
      <c r="AE375" s="33">
        <f t="shared" si="66"/>
        <v>43466</v>
      </c>
      <c r="AF375" s="33">
        <f t="shared" si="67"/>
        <v>43470.5</v>
      </c>
      <c r="AG375" s="33">
        <f t="shared" si="68"/>
        <v>43536</v>
      </c>
      <c r="AH375">
        <v>464</v>
      </c>
      <c r="AK375" s="36" t="str">
        <f t="shared" si="69"/>
        <v/>
      </c>
      <c r="AL375">
        <f t="shared" si="70"/>
        <v>19</v>
      </c>
      <c r="AM375">
        <v>19</v>
      </c>
      <c r="AN375">
        <f t="shared" si="71"/>
        <v>70</v>
      </c>
      <c r="AO375" t="str">
        <f t="shared" si="65"/>
        <v>1.1.---5.1.---12.3.</v>
      </c>
      <c r="AP375" t="str">
        <f t="shared" si="72"/>
        <v>Isokäpylintu</v>
      </c>
      <c r="AQ375" t="str">
        <f t="shared" si="73"/>
        <v>(1.1.---5.1.---12.3., 19/21)</v>
      </c>
    </row>
    <row r="376" spans="1:43" x14ac:dyDescent="0.2">
      <c r="A376" s="1"/>
      <c r="B376" s="9">
        <f t="shared" si="74"/>
        <v>370</v>
      </c>
      <c r="C376" s="10"/>
      <c r="D376" s="9" t="s">
        <v>366</v>
      </c>
      <c r="E376" s="10"/>
      <c r="F376" s="11">
        <v>43597</v>
      </c>
      <c r="G376" s="12">
        <v>43602</v>
      </c>
      <c r="H376" s="11">
        <v>43593</v>
      </c>
      <c r="I376" s="12">
        <v>43602</v>
      </c>
      <c r="J376" s="11">
        <v>43602</v>
      </c>
      <c r="K376" s="12">
        <v>43601</v>
      </c>
      <c r="L376" s="11">
        <v>43599</v>
      </c>
      <c r="M376" s="12">
        <v>43604</v>
      </c>
      <c r="N376" s="11">
        <v>43603</v>
      </c>
      <c r="O376" s="12">
        <v>43600</v>
      </c>
      <c r="P376" s="11">
        <v>43596</v>
      </c>
      <c r="Q376" s="12">
        <v>43599</v>
      </c>
      <c r="R376" s="11">
        <v>43600</v>
      </c>
      <c r="S376" s="12">
        <v>43590</v>
      </c>
      <c r="T376" s="11">
        <v>43602</v>
      </c>
      <c r="U376" s="12">
        <f>IF(AG1,DATE(2019,3,5),DATE(2019,5,7))</f>
        <v>43592</v>
      </c>
      <c r="V376" s="11">
        <v>43599</v>
      </c>
      <c r="W376" s="12">
        <v>43604</v>
      </c>
      <c r="X376" s="11">
        <v>43596</v>
      </c>
      <c r="Y376" s="12">
        <v>43597</v>
      </c>
      <c r="Z376" s="11">
        <v>43594</v>
      </c>
      <c r="AA376" s="12">
        <v>43595</v>
      </c>
      <c r="AB376" s="11">
        <v>43590</v>
      </c>
      <c r="AC376" s="12">
        <v>43595</v>
      </c>
      <c r="AD376" s="34"/>
      <c r="AE376" s="33">
        <f t="shared" si="66"/>
        <v>43590</v>
      </c>
      <c r="AF376" s="33">
        <f t="shared" si="67"/>
        <v>43599</v>
      </c>
      <c r="AG376" s="33">
        <f t="shared" si="68"/>
        <v>43604</v>
      </c>
      <c r="AH376">
        <v>466</v>
      </c>
      <c r="AK376" s="36" t="str">
        <f t="shared" si="69"/>
        <v/>
      </c>
      <c r="AL376" t="str">
        <f t="shared" si="70"/>
        <v/>
      </c>
      <c r="AM376" t="s">
        <v>393</v>
      </c>
      <c r="AN376">
        <f t="shared" si="71"/>
        <v>14</v>
      </c>
      <c r="AO376" t="str">
        <f t="shared" si="65"/>
        <v>5.5.---14.5.---19.5.</v>
      </c>
      <c r="AP376" t="str">
        <f t="shared" si="72"/>
        <v>Punavarpunen</v>
      </c>
      <c r="AQ376" t="str">
        <f t="shared" si="73"/>
        <v>(5.5.---14.5.---19.5.)</v>
      </c>
    </row>
    <row r="377" spans="1:43" x14ac:dyDescent="0.2">
      <c r="A377" s="1"/>
      <c r="B377" s="9">
        <f t="shared" si="74"/>
        <v>371</v>
      </c>
      <c r="C377" s="10"/>
      <c r="D377" s="9" t="s">
        <v>367</v>
      </c>
      <c r="E377" s="10"/>
      <c r="F377" s="11">
        <v>43466</v>
      </c>
      <c r="G377" s="12">
        <v>43466</v>
      </c>
      <c r="H377" s="11">
        <v>43466</v>
      </c>
      <c r="I377" s="12">
        <v>43466</v>
      </c>
      <c r="J377" s="11">
        <v>43482</v>
      </c>
      <c r="K377" s="12">
        <v>43467</v>
      </c>
      <c r="L377" s="11">
        <v>43469</v>
      </c>
      <c r="M377" s="12">
        <v>43466</v>
      </c>
      <c r="N377" s="11">
        <v>43485</v>
      </c>
      <c r="O377" s="12">
        <v>43466</v>
      </c>
      <c r="P377" s="11">
        <v>43466</v>
      </c>
      <c r="Q377" s="12">
        <v>43466</v>
      </c>
      <c r="R377" s="11">
        <v>43466</v>
      </c>
      <c r="S377" s="12">
        <v>43466</v>
      </c>
      <c r="T377" s="11">
        <v>43471</v>
      </c>
      <c r="U377" s="12">
        <v>43466</v>
      </c>
      <c r="V377" s="11">
        <v>43476</v>
      </c>
      <c r="W377" s="12">
        <v>43472</v>
      </c>
      <c r="X377" s="11">
        <v>43466</v>
      </c>
      <c r="Y377" s="12">
        <v>43479</v>
      </c>
      <c r="Z377" s="11">
        <v>43466</v>
      </c>
      <c r="AA377" s="12">
        <v>43467</v>
      </c>
      <c r="AB377" s="11">
        <v>43466</v>
      </c>
      <c r="AC377" s="12">
        <v>43466</v>
      </c>
      <c r="AD377" s="34"/>
      <c r="AE377" s="33">
        <f t="shared" si="66"/>
        <v>43466</v>
      </c>
      <c r="AF377" s="33">
        <f t="shared" si="67"/>
        <v>43466</v>
      </c>
      <c r="AG377" s="33">
        <f t="shared" si="68"/>
        <v>43485</v>
      </c>
      <c r="AH377">
        <v>467</v>
      </c>
      <c r="AK377" s="36" t="str">
        <f t="shared" si="69"/>
        <v/>
      </c>
      <c r="AL377">
        <f t="shared" si="70"/>
        <v>21</v>
      </c>
      <c r="AM377">
        <v>21</v>
      </c>
      <c r="AN377">
        <f t="shared" si="71"/>
        <v>19</v>
      </c>
      <c r="AO377" t="str">
        <f t="shared" si="65"/>
        <v>1.1.---1.1.---20.1.</v>
      </c>
      <c r="AP377" t="str">
        <f t="shared" si="72"/>
        <v>Taviokuurna</v>
      </c>
      <c r="AQ377" t="str">
        <f t="shared" si="73"/>
        <v>(1.1.---1.1.---20.1., 21/21)</v>
      </c>
    </row>
    <row r="378" spans="1:43" x14ac:dyDescent="0.2">
      <c r="A378" s="1"/>
      <c r="B378" s="9">
        <f t="shared" ref="B378:B389" si="75">B377+1</f>
        <v>372</v>
      </c>
      <c r="C378" s="10"/>
      <c r="D378" s="9" t="s">
        <v>368</v>
      </c>
      <c r="E378" s="10"/>
      <c r="F378" s="11"/>
      <c r="G378" s="12"/>
      <c r="H378" s="11"/>
      <c r="I378" s="12">
        <v>43466</v>
      </c>
      <c r="J378" s="11">
        <v>43466</v>
      </c>
      <c r="K378" s="12">
        <v>43466</v>
      </c>
      <c r="L378" s="11">
        <v>43466</v>
      </c>
      <c r="M378" s="12">
        <v>43466</v>
      </c>
      <c r="N378" s="11">
        <v>43466</v>
      </c>
      <c r="O378" s="12">
        <v>43466</v>
      </c>
      <c r="P378" s="11">
        <v>43466</v>
      </c>
      <c r="Q378" s="12">
        <v>43466</v>
      </c>
      <c r="R378" s="11">
        <v>43466</v>
      </c>
      <c r="S378" s="12">
        <v>43466</v>
      </c>
      <c r="T378" s="11">
        <v>43466</v>
      </c>
      <c r="U378" s="12">
        <v>43466</v>
      </c>
      <c r="V378" s="11">
        <v>43466</v>
      </c>
      <c r="W378" s="12">
        <v>43466</v>
      </c>
      <c r="X378" s="11">
        <v>43466</v>
      </c>
      <c r="Y378" s="12">
        <v>43466</v>
      </c>
      <c r="Z378" s="11">
        <v>43466</v>
      </c>
      <c r="AA378" s="12">
        <v>43466</v>
      </c>
      <c r="AB378" s="11">
        <v>43466</v>
      </c>
      <c r="AC378" s="12">
        <v>43466</v>
      </c>
      <c r="AD378" s="34"/>
      <c r="AE378" s="33">
        <f t="shared" si="66"/>
        <v>43466</v>
      </c>
      <c r="AF378" s="33">
        <f t="shared" si="67"/>
        <v>43466</v>
      </c>
      <c r="AG378" s="33">
        <f t="shared" si="68"/>
        <v>43466</v>
      </c>
      <c r="AH378">
        <v>468</v>
      </c>
      <c r="AK378" s="36" t="str">
        <f t="shared" si="69"/>
        <v/>
      </c>
      <c r="AL378">
        <f t="shared" si="70"/>
        <v>18</v>
      </c>
      <c r="AM378">
        <v>18</v>
      </c>
      <c r="AN378">
        <f t="shared" si="71"/>
        <v>0</v>
      </c>
      <c r="AO378" t="str">
        <f t="shared" si="65"/>
        <v>1.1.---1.1.---1.1.</v>
      </c>
      <c r="AP378" t="str">
        <f t="shared" si="72"/>
        <v>Punatulkku</v>
      </c>
      <c r="AQ378" t="str">
        <f t="shared" si="73"/>
        <v>(1.1.---1.1.---1.1., 18/21)</v>
      </c>
    </row>
    <row r="379" spans="1:43" x14ac:dyDescent="0.2">
      <c r="A379" s="1"/>
      <c r="B379" s="9">
        <f t="shared" si="75"/>
        <v>373</v>
      </c>
      <c r="C379" s="10"/>
      <c r="D379" s="9" t="s">
        <v>369</v>
      </c>
      <c r="E379" s="10"/>
      <c r="F379" s="11">
        <v>43581</v>
      </c>
      <c r="G379" s="12">
        <v>43466</v>
      </c>
      <c r="H379" s="11">
        <v>43486</v>
      </c>
      <c r="I379" s="12">
        <v>43517</v>
      </c>
      <c r="J379" s="11">
        <v>43481</v>
      </c>
      <c r="K379" s="12">
        <v>43466</v>
      </c>
      <c r="L379" s="11">
        <v>43469</v>
      </c>
      <c r="M379" s="12">
        <v>43466</v>
      </c>
      <c r="N379" s="11">
        <v>43574</v>
      </c>
      <c r="O379" s="12">
        <v>43466</v>
      </c>
      <c r="P379" s="11">
        <v>43471</v>
      </c>
      <c r="Q379" s="12">
        <v>43466</v>
      </c>
      <c r="R379" s="11">
        <v>43466</v>
      </c>
      <c r="S379" s="12">
        <v>43469</v>
      </c>
      <c r="T379" s="11">
        <v>43466</v>
      </c>
      <c r="U379" s="12">
        <v>43470</v>
      </c>
      <c r="V379" s="11">
        <v>43471</v>
      </c>
      <c r="W379" s="12">
        <v>43563</v>
      </c>
      <c r="X379" s="11">
        <v>43466</v>
      </c>
      <c r="Y379" s="12">
        <v>43557</v>
      </c>
      <c r="Z379" s="11">
        <v>43571</v>
      </c>
      <c r="AA379" s="12">
        <v>43475</v>
      </c>
      <c r="AB379" s="11">
        <v>43569</v>
      </c>
      <c r="AC379" s="12">
        <v>43477</v>
      </c>
      <c r="AD379" s="34"/>
      <c r="AE379" s="33">
        <f t="shared" si="66"/>
        <v>43466</v>
      </c>
      <c r="AF379" s="33">
        <f t="shared" si="67"/>
        <v>43471</v>
      </c>
      <c r="AG379" s="33">
        <f t="shared" si="68"/>
        <v>43581</v>
      </c>
      <c r="AH379">
        <v>469</v>
      </c>
      <c r="AK379" s="36" t="str">
        <f t="shared" si="69"/>
        <v/>
      </c>
      <c r="AL379">
        <f t="shared" si="70"/>
        <v>16</v>
      </c>
      <c r="AM379">
        <v>16</v>
      </c>
      <c r="AN379">
        <f t="shared" si="71"/>
        <v>115</v>
      </c>
      <c r="AO379" t="str">
        <f t="shared" si="65"/>
        <v>1.1.---6.1.---26.4.</v>
      </c>
      <c r="AP379" t="str">
        <f t="shared" si="72"/>
        <v>Nokkavarpunen</v>
      </c>
      <c r="AQ379" t="str">
        <f t="shared" si="73"/>
        <v>(1.1.---6.1.---26.4., 16/21)</v>
      </c>
    </row>
    <row r="380" spans="1:43" x14ac:dyDescent="0.2">
      <c r="A380" s="1"/>
      <c r="B380" s="9">
        <f t="shared" si="75"/>
        <v>374</v>
      </c>
      <c r="C380" s="10"/>
      <c r="D380" s="9" t="s">
        <v>370</v>
      </c>
      <c r="E380" s="10"/>
      <c r="F380" s="11">
        <v>43569</v>
      </c>
      <c r="G380" s="12">
        <v>43562</v>
      </c>
      <c r="H380" s="11">
        <v>43554</v>
      </c>
      <c r="I380" s="12">
        <v>43570</v>
      </c>
      <c r="J380" s="11">
        <v>43560</v>
      </c>
      <c r="K380" s="12">
        <v>43559</v>
      </c>
      <c r="L380" s="11">
        <v>43568</v>
      </c>
      <c r="M380" s="12">
        <v>43550</v>
      </c>
      <c r="N380" s="11">
        <v>43555</v>
      </c>
      <c r="O380" s="12">
        <v>43564</v>
      </c>
      <c r="P380" s="11">
        <v>43566</v>
      </c>
      <c r="Q380" s="12">
        <v>43567</v>
      </c>
      <c r="R380" s="11">
        <v>43568</v>
      </c>
      <c r="S380" s="12">
        <v>43567</v>
      </c>
      <c r="T380" s="11">
        <v>43555</v>
      </c>
      <c r="U380" s="12">
        <v>43560</v>
      </c>
      <c r="V380" s="11">
        <v>43556</v>
      </c>
      <c r="W380" s="12">
        <v>43560</v>
      </c>
      <c r="X380" s="11">
        <v>43568</v>
      </c>
      <c r="Y380" s="12">
        <v>43555</v>
      </c>
      <c r="Z380" s="11">
        <v>43546</v>
      </c>
      <c r="AA380" s="12">
        <v>43560</v>
      </c>
      <c r="AB380" s="11">
        <v>43570</v>
      </c>
      <c r="AC380" s="12">
        <v>43552</v>
      </c>
      <c r="AD380" s="34"/>
      <c r="AE380" s="33">
        <f t="shared" si="66"/>
        <v>43546</v>
      </c>
      <c r="AF380" s="33">
        <f t="shared" si="67"/>
        <v>43560</v>
      </c>
      <c r="AG380" s="33">
        <f t="shared" si="68"/>
        <v>43570</v>
      </c>
      <c r="AH380">
        <v>473</v>
      </c>
      <c r="AK380" s="36" t="str">
        <f t="shared" si="69"/>
        <v/>
      </c>
      <c r="AL380" t="str">
        <f t="shared" si="70"/>
        <v/>
      </c>
      <c r="AM380" t="s">
        <v>393</v>
      </c>
      <c r="AN380">
        <f t="shared" si="71"/>
        <v>24</v>
      </c>
      <c r="AO380" t="str">
        <f t="shared" si="65"/>
        <v>22.3.---5.4.---15.4.</v>
      </c>
      <c r="AP380" t="str">
        <f t="shared" si="72"/>
        <v>Lapinsirkku</v>
      </c>
      <c r="AQ380" t="str">
        <f t="shared" si="73"/>
        <v>(22.3.---5.4.---15.4.)</v>
      </c>
    </row>
    <row r="381" spans="1:43" x14ac:dyDescent="0.2">
      <c r="A381" s="1"/>
      <c r="B381" s="9">
        <f t="shared" si="75"/>
        <v>375</v>
      </c>
      <c r="C381" s="10"/>
      <c r="D381" s="9" t="s">
        <v>371</v>
      </c>
      <c r="E381" s="10"/>
      <c r="F381" s="11">
        <f>IF(AG1,DATE(2019,1,7),DATE(2019,3,19))</f>
        <v>43543</v>
      </c>
      <c r="G381" s="12">
        <f>IF(AG1,DATE(2019,1,6),DATE(2019,3,21))</f>
        <v>43545</v>
      </c>
      <c r="H381" s="11">
        <f>IF(AG1,DATE(2019,1,6),DATE(2019,3,15))</f>
        <v>43539</v>
      </c>
      <c r="I381" s="12">
        <f>IF(AG1,DATE(2019,1,1),DATE(2019,3,27))</f>
        <v>43551</v>
      </c>
      <c r="J381" s="11">
        <f>IF(AG1,DATE(2019,1,2),DATE(2019,3,9))</f>
        <v>43533</v>
      </c>
      <c r="K381" s="12">
        <v>43471</v>
      </c>
      <c r="L381" s="11">
        <v>43466</v>
      </c>
      <c r="M381" s="12">
        <v>43471</v>
      </c>
      <c r="N381" s="11">
        <v>43467</v>
      </c>
      <c r="O381" s="12">
        <v>43466</v>
      </c>
      <c r="P381" s="11">
        <v>43466</v>
      </c>
      <c r="Q381" s="12">
        <f>IF(AG1,DATE(2019,1,5),DATE(2019,2,25))</f>
        <v>43521</v>
      </c>
      <c r="R381" s="11">
        <v>43467</v>
      </c>
      <c r="S381" s="12">
        <v>43469</v>
      </c>
      <c r="T381" s="11">
        <v>43466</v>
      </c>
      <c r="U381" s="12">
        <v>43469</v>
      </c>
      <c r="V381" s="11">
        <v>43468</v>
      </c>
      <c r="W381" s="12">
        <v>43482</v>
      </c>
      <c r="X381" s="11">
        <f>IF(AG1,DATE(2019,1,7),DATE(2019,3,2))</f>
        <v>43526</v>
      </c>
      <c r="Y381" s="12">
        <v>43467</v>
      </c>
      <c r="Z381" s="11">
        <v>43466</v>
      </c>
      <c r="AA381" s="12">
        <v>43467</v>
      </c>
      <c r="AB381" s="11">
        <v>43467</v>
      </c>
      <c r="AC381" s="12">
        <v>43467</v>
      </c>
      <c r="AD381" s="34"/>
      <c r="AE381" s="33">
        <f t="shared" si="66"/>
        <v>43466</v>
      </c>
      <c r="AF381" s="33">
        <f t="shared" si="67"/>
        <v>43468.5</v>
      </c>
      <c r="AG381" s="33">
        <f t="shared" si="68"/>
        <v>43551</v>
      </c>
      <c r="AH381">
        <v>474</v>
      </c>
      <c r="AK381" s="36" t="str">
        <f t="shared" si="69"/>
        <v/>
      </c>
      <c r="AL381">
        <f t="shared" si="70"/>
        <v>15</v>
      </c>
      <c r="AM381">
        <v>21</v>
      </c>
      <c r="AN381">
        <f t="shared" si="71"/>
        <v>85</v>
      </c>
      <c r="AO381" t="str">
        <f t="shared" si="65"/>
        <v>1.1.---3.1.---27.3.</v>
      </c>
      <c r="AP381" t="str">
        <f t="shared" si="72"/>
        <v>Pulmunen</v>
      </c>
      <c r="AQ381" t="str">
        <f t="shared" si="73"/>
        <v>(1.1.---3.1.---27.3., 21/21)</v>
      </c>
    </row>
    <row r="382" spans="1:43" x14ac:dyDescent="0.2">
      <c r="A382" s="1"/>
      <c r="B382" s="9">
        <f t="shared" si="75"/>
        <v>376</v>
      </c>
      <c r="C382" s="10"/>
      <c r="D382" s="15" t="s">
        <v>372</v>
      </c>
      <c r="E382" s="16"/>
      <c r="F382" s="11"/>
      <c r="G382" s="12"/>
      <c r="H382" s="11"/>
      <c r="I382" s="12"/>
      <c r="J382" s="11"/>
      <c r="K382" s="12"/>
      <c r="L382" s="11"/>
      <c r="M382" s="12"/>
      <c r="N382" s="11"/>
      <c r="O382" s="12"/>
      <c r="P382" s="11"/>
      <c r="Q382" s="12"/>
      <c r="R382" s="11"/>
      <c r="S382" s="12"/>
      <c r="T382" s="11"/>
      <c r="U382" s="12"/>
      <c r="V382" s="11"/>
      <c r="W382" s="12">
        <v>43577</v>
      </c>
      <c r="X382" s="11"/>
      <c r="Y382" s="12"/>
      <c r="Z382" s="11"/>
      <c r="AA382" s="12"/>
      <c r="AB382" s="11"/>
      <c r="AC382" s="12" t="s">
        <v>393</v>
      </c>
      <c r="AD382" s="34"/>
      <c r="AE382" s="33">
        <f t="shared" si="66"/>
        <v>43577</v>
      </c>
      <c r="AF382" s="33">
        <f t="shared" si="67"/>
        <v>43577</v>
      </c>
      <c r="AG382" s="33">
        <f t="shared" si="68"/>
        <v>43577</v>
      </c>
      <c r="AH382">
        <v>476</v>
      </c>
      <c r="AK382" s="36" t="str">
        <f t="shared" si="69"/>
        <v/>
      </c>
      <c r="AL382" t="str">
        <f t="shared" si="70"/>
        <v/>
      </c>
      <c r="AM382" t="s">
        <v>393</v>
      </c>
      <c r="AN382">
        <f t="shared" si="71"/>
        <v>0</v>
      </c>
      <c r="AO382" t="str">
        <f t="shared" si="65"/>
        <v>22.4.---22.4.---22.4.</v>
      </c>
      <c r="AP382" t="str">
        <f t="shared" si="72"/>
        <v>Mäntysirkku</v>
      </c>
      <c r="AQ382" t="str">
        <f t="shared" si="73"/>
        <v>(22.4.---22.4.---22.4.)</v>
      </c>
    </row>
    <row r="383" spans="1:43" x14ac:dyDescent="0.2">
      <c r="A383" s="1"/>
      <c r="B383" s="9">
        <f t="shared" si="75"/>
        <v>377</v>
      </c>
      <c r="C383" s="10"/>
      <c r="D383" s="9" t="s">
        <v>373</v>
      </c>
      <c r="E383" s="10"/>
      <c r="F383" s="11"/>
      <c r="G383" s="12"/>
      <c r="H383" s="11"/>
      <c r="I383" s="12">
        <v>43466</v>
      </c>
      <c r="J383" s="11">
        <v>43466</v>
      </c>
      <c r="K383" s="12">
        <v>43466</v>
      </c>
      <c r="L383" s="11">
        <v>43466</v>
      </c>
      <c r="M383" s="12">
        <v>43466</v>
      </c>
      <c r="N383" s="11">
        <v>43466</v>
      </c>
      <c r="O383" s="12">
        <v>43466</v>
      </c>
      <c r="P383" s="11">
        <v>43466</v>
      </c>
      <c r="Q383" s="12">
        <v>43466</v>
      </c>
      <c r="R383" s="11">
        <v>43466</v>
      </c>
      <c r="S383" s="12">
        <v>43466</v>
      </c>
      <c r="T383" s="11">
        <v>43466</v>
      </c>
      <c r="U383" s="12">
        <v>43466</v>
      </c>
      <c r="V383" s="11">
        <v>43466</v>
      </c>
      <c r="W383" s="12">
        <v>43466</v>
      </c>
      <c r="X383" s="11">
        <v>43466</v>
      </c>
      <c r="Y383" s="12">
        <v>43466</v>
      </c>
      <c r="Z383" s="11">
        <v>43466</v>
      </c>
      <c r="AA383" s="12">
        <v>43466</v>
      </c>
      <c r="AB383" s="11">
        <v>43466</v>
      </c>
      <c r="AC383" s="12">
        <v>43466</v>
      </c>
      <c r="AD383" s="34"/>
      <c r="AE383" s="33">
        <f t="shared" si="66"/>
        <v>43466</v>
      </c>
      <c r="AF383" s="33">
        <f t="shared" si="67"/>
        <v>43466</v>
      </c>
      <c r="AG383" s="33">
        <f t="shared" si="68"/>
        <v>43466</v>
      </c>
      <c r="AH383">
        <v>477</v>
      </c>
      <c r="AK383" s="36" t="str">
        <f t="shared" si="69"/>
        <v/>
      </c>
      <c r="AL383">
        <f t="shared" si="70"/>
        <v>18</v>
      </c>
      <c r="AM383">
        <v>18</v>
      </c>
      <c r="AN383">
        <f t="shared" si="71"/>
        <v>0</v>
      </c>
      <c r="AO383" t="str">
        <f t="shared" si="65"/>
        <v>1.1.---1.1.---1.1.</v>
      </c>
      <c r="AP383" t="str">
        <f t="shared" si="72"/>
        <v>Keltasirkku</v>
      </c>
      <c r="AQ383" t="str">
        <f t="shared" si="73"/>
        <v>(1.1.---1.1.---1.1., 18/21)</v>
      </c>
    </row>
    <row r="384" spans="1:43" x14ac:dyDescent="0.2">
      <c r="A384" s="1"/>
      <c r="B384" s="9">
        <f t="shared" si="75"/>
        <v>378</v>
      </c>
      <c r="C384" s="10"/>
      <c r="D384" s="9" t="s">
        <v>374</v>
      </c>
      <c r="E384" s="10"/>
      <c r="F384" s="11">
        <v>43583</v>
      </c>
      <c r="G384" s="12">
        <v>43590</v>
      </c>
      <c r="H384" s="11">
        <v>43585</v>
      </c>
      <c r="I384" s="12">
        <v>43589</v>
      </c>
      <c r="J384" s="11">
        <v>43590</v>
      </c>
      <c r="K384" s="12">
        <v>43586</v>
      </c>
      <c r="L384" s="11">
        <v>43585</v>
      </c>
      <c r="M384" s="12">
        <v>43590</v>
      </c>
      <c r="N384" s="11">
        <v>43586</v>
      </c>
      <c r="O384" s="12">
        <v>43587</v>
      </c>
      <c r="P384" s="11">
        <v>43590</v>
      </c>
      <c r="Q384" s="12">
        <v>43585</v>
      </c>
      <c r="R384" s="11">
        <v>43585</v>
      </c>
      <c r="S384" s="12">
        <v>43582</v>
      </c>
      <c r="T384" s="11">
        <v>43594</v>
      </c>
      <c r="U384" s="12">
        <v>43589</v>
      </c>
      <c r="V384" s="11">
        <v>43585</v>
      </c>
      <c r="W384" s="12">
        <v>43592</v>
      </c>
      <c r="X384" s="11">
        <v>43591</v>
      </c>
      <c r="Y384" s="12">
        <v>43586</v>
      </c>
      <c r="Z384" s="11">
        <v>43586</v>
      </c>
      <c r="AA384" s="12">
        <v>43597</v>
      </c>
      <c r="AB384" s="11">
        <v>43589</v>
      </c>
      <c r="AC384" s="12">
        <v>43595</v>
      </c>
      <c r="AD384" s="34"/>
      <c r="AE384" s="33">
        <f t="shared" si="66"/>
        <v>43582</v>
      </c>
      <c r="AF384" s="33">
        <f t="shared" si="67"/>
        <v>43588</v>
      </c>
      <c r="AG384" s="33">
        <f t="shared" si="68"/>
        <v>43597</v>
      </c>
      <c r="AH384">
        <v>478</v>
      </c>
      <c r="AK384" s="36" t="str">
        <f t="shared" si="69"/>
        <v/>
      </c>
      <c r="AL384" t="str">
        <f t="shared" si="70"/>
        <v/>
      </c>
      <c r="AM384" t="s">
        <v>393</v>
      </c>
      <c r="AN384">
        <f t="shared" si="71"/>
        <v>15</v>
      </c>
      <c r="AO384" t="str">
        <f t="shared" si="65"/>
        <v>27.4.---3.5.---12.5.</v>
      </c>
      <c r="AP384" t="str">
        <f t="shared" si="72"/>
        <v>Peltosirkku</v>
      </c>
      <c r="AQ384" t="str">
        <f t="shared" si="73"/>
        <v>(27.4.---3.5.---12.5.)</v>
      </c>
    </row>
    <row r="385" spans="1:43" x14ac:dyDescent="0.2">
      <c r="A385" s="1"/>
      <c r="B385" s="9">
        <f t="shared" si="75"/>
        <v>379</v>
      </c>
      <c r="C385" s="10"/>
      <c r="D385" s="9" t="s">
        <v>375</v>
      </c>
      <c r="E385" s="10"/>
      <c r="F385" s="11">
        <v>43572</v>
      </c>
      <c r="G385" s="12">
        <v>43576</v>
      </c>
      <c r="H385" s="11">
        <v>43582</v>
      </c>
      <c r="I385" s="12">
        <v>43585</v>
      </c>
      <c r="J385" s="11">
        <v>43582</v>
      </c>
      <c r="K385" s="12">
        <v>43564</v>
      </c>
      <c r="L385" s="11">
        <v>43574</v>
      </c>
      <c r="M385" s="12">
        <v>43578</v>
      </c>
      <c r="N385" s="11">
        <v>43575</v>
      </c>
      <c r="O385" s="12">
        <v>43581</v>
      </c>
      <c r="P385" s="11">
        <v>43569</v>
      </c>
      <c r="Q385" s="12">
        <v>43570</v>
      </c>
      <c r="R385" s="11">
        <v>43578</v>
      </c>
      <c r="S385" s="12">
        <v>43577</v>
      </c>
      <c r="T385" s="11">
        <v>43575</v>
      </c>
      <c r="U385" s="12">
        <v>43570</v>
      </c>
      <c r="V385" s="11">
        <v>43573</v>
      </c>
      <c r="W385" s="12">
        <v>43584</v>
      </c>
      <c r="X385" s="11">
        <v>43574</v>
      </c>
      <c r="Y385" s="12">
        <v>43562</v>
      </c>
      <c r="Z385" s="11">
        <v>43566</v>
      </c>
      <c r="AA385" s="12">
        <v>43586</v>
      </c>
      <c r="AB385" s="11">
        <v>43574</v>
      </c>
      <c r="AC385" s="12">
        <v>43566</v>
      </c>
      <c r="AD385" s="34"/>
      <c r="AE385" s="33">
        <f t="shared" si="66"/>
        <v>43562</v>
      </c>
      <c r="AF385" s="33">
        <f t="shared" si="67"/>
        <v>43574.5</v>
      </c>
      <c r="AG385" s="33">
        <f t="shared" si="68"/>
        <v>43586</v>
      </c>
      <c r="AH385">
        <v>481</v>
      </c>
      <c r="AK385" s="36" t="str">
        <f t="shared" si="69"/>
        <v/>
      </c>
      <c r="AL385" t="str">
        <f t="shared" si="70"/>
        <v/>
      </c>
      <c r="AM385" t="s">
        <v>393</v>
      </c>
      <c r="AN385">
        <f t="shared" si="71"/>
        <v>24</v>
      </c>
      <c r="AO385" t="str">
        <f t="shared" si="65"/>
        <v>7.4.---19.4.---1.5.</v>
      </c>
      <c r="AP385" t="str">
        <f t="shared" si="72"/>
        <v>Pohjansirkku</v>
      </c>
      <c r="AQ385" t="str">
        <f t="shared" si="73"/>
        <v>(7.4.---19.4.---1.5.)</v>
      </c>
    </row>
    <row r="386" spans="1:43" x14ac:dyDescent="0.2">
      <c r="A386" s="1"/>
      <c r="B386" s="9">
        <f t="shared" si="75"/>
        <v>380</v>
      </c>
      <c r="C386" s="10"/>
      <c r="D386" s="9" t="s">
        <v>376</v>
      </c>
      <c r="E386" s="10"/>
      <c r="F386" s="11">
        <v>43611</v>
      </c>
      <c r="G386" s="12">
        <v>43605</v>
      </c>
      <c r="H386" s="11">
        <v>43617</v>
      </c>
      <c r="I386" s="12">
        <v>43610</v>
      </c>
      <c r="J386" s="11">
        <v>43599</v>
      </c>
      <c r="K386" s="12">
        <v>43608</v>
      </c>
      <c r="L386" s="11">
        <v>43620</v>
      </c>
      <c r="M386" s="12">
        <v>43633</v>
      </c>
      <c r="N386" s="11">
        <v>43614</v>
      </c>
      <c r="O386" s="12">
        <v>43591</v>
      </c>
      <c r="P386" s="11">
        <v>43596</v>
      </c>
      <c r="Q386" s="12">
        <v>43617</v>
      </c>
      <c r="R386" s="11">
        <v>43615</v>
      </c>
      <c r="S386" s="12">
        <v>43612</v>
      </c>
      <c r="T386" s="11">
        <v>43616</v>
      </c>
      <c r="U386" s="12">
        <v>43605</v>
      </c>
      <c r="V386" s="11">
        <v>43610</v>
      </c>
      <c r="W386" s="12">
        <v>43604</v>
      </c>
      <c r="X386" s="11">
        <f>IF(AG1,DATE(2019,2,7),DATE(2019,6,12))</f>
        <v>43628</v>
      </c>
      <c r="Y386" s="12">
        <v>43619</v>
      </c>
      <c r="Z386" s="11">
        <v>43600</v>
      </c>
      <c r="AA386" s="12">
        <v>43587</v>
      </c>
      <c r="AB386" s="11">
        <v>43624</v>
      </c>
      <c r="AC386" s="12">
        <v>43627</v>
      </c>
      <c r="AD386" s="34"/>
      <c r="AE386" s="33">
        <f t="shared" si="66"/>
        <v>43587</v>
      </c>
      <c r="AF386" s="33">
        <f t="shared" si="67"/>
        <v>43611.5</v>
      </c>
      <c r="AG386" s="33">
        <f t="shared" si="68"/>
        <v>43633</v>
      </c>
      <c r="AH386">
        <v>482</v>
      </c>
      <c r="AK386" s="36" t="str">
        <f t="shared" si="69"/>
        <v/>
      </c>
      <c r="AL386" t="str">
        <f t="shared" si="70"/>
        <v/>
      </c>
      <c r="AM386">
        <v>1</v>
      </c>
      <c r="AN386">
        <f t="shared" si="71"/>
        <v>46</v>
      </c>
      <c r="AO386" t="str">
        <f t="shared" si="65"/>
        <v>2.5.---26.5.---17.6.</v>
      </c>
      <c r="AP386" t="str">
        <f t="shared" si="72"/>
        <v>Pikkusirkku</v>
      </c>
      <c r="AQ386" t="str">
        <f t="shared" si="73"/>
        <v>(2.5.---26.5.---17.6., 1/21)</v>
      </c>
    </row>
    <row r="387" spans="1:43" x14ac:dyDescent="0.2">
      <c r="A387" s="1"/>
      <c r="B387" s="9">
        <f t="shared" si="75"/>
        <v>381</v>
      </c>
      <c r="C387" s="10"/>
      <c r="D387" s="15" t="s">
        <v>377</v>
      </c>
      <c r="E387" s="16"/>
      <c r="F387" s="11">
        <v>43616</v>
      </c>
      <c r="G387" s="12">
        <v>43622</v>
      </c>
      <c r="H387" s="11">
        <v>43623</v>
      </c>
      <c r="I387" s="12">
        <v>43629</v>
      </c>
      <c r="J387" s="11">
        <v>43659</v>
      </c>
      <c r="K387" s="12">
        <v>43632</v>
      </c>
      <c r="L387" s="11"/>
      <c r="M387" s="12"/>
      <c r="N387" s="11"/>
      <c r="O387" s="12"/>
      <c r="P387" s="11"/>
      <c r="Q387" s="12"/>
      <c r="R387" s="11"/>
      <c r="S387" s="12"/>
      <c r="T387" s="11"/>
      <c r="U387" s="12"/>
      <c r="V387" s="11"/>
      <c r="W387" s="12"/>
      <c r="X387" s="11"/>
      <c r="Y387" s="12">
        <v>43636</v>
      </c>
      <c r="Z387" s="11"/>
      <c r="AA387" s="12"/>
      <c r="AB387" s="11"/>
      <c r="AC387" s="12" t="s">
        <v>393</v>
      </c>
      <c r="AD387" s="34"/>
      <c r="AE387" s="33">
        <f t="shared" si="66"/>
        <v>43616</v>
      </c>
      <c r="AF387" s="33">
        <f t="shared" si="67"/>
        <v>43629</v>
      </c>
      <c r="AG387" s="33">
        <f t="shared" si="68"/>
        <v>43659</v>
      </c>
      <c r="AH387">
        <v>484</v>
      </c>
      <c r="AK387" s="36" t="str">
        <f t="shared" si="69"/>
        <v/>
      </c>
      <c r="AL387" t="str">
        <f t="shared" si="70"/>
        <v/>
      </c>
      <c r="AM387" t="s">
        <v>393</v>
      </c>
      <c r="AN387">
        <f t="shared" si="71"/>
        <v>43</v>
      </c>
      <c r="AO387" t="str">
        <f t="shared" si="65"/>
        <v>31.5.---13.6.---13.7.</v>
      </c>
      <c r="AP387" t="str">
        <f t="shared" si="72"/>
        <v>Kultasirkku</v>
      </c>
      <c r="AQ387" t="str">
        <f t="shared" si="73"/>
        <v>(31.5.---13.6.---13.7.)</v>
      </c>
    </row>
    <row r="388" spans="1:43" x14ac:dyDescent="0.2">
      <c r="A388" s="1"/>
      <c r="B388" s="9">
        <f t="shared" si="75"/>
        <v>382</v>
      </c>
      <c r="C388" s="10"/>
      <c r="D388" s="9" t="s">
        <v>378</v>
      </c>
      <c r="E388" s="10"/>
      <c r="F388" s="11">
        <v>43550</v>
      </c>
      <c r="G388" s="12">
        <f>IF(AG1,DATE(2019,1,14),DATE(2019,4,7))</f>
        <v>43562</v>
      </c>
      <c r="H388" s="11">
        <v>43553</v>
      </c>
      <c r="I388" s="12">
        <v>43550</v>
      </c>
      <c r="J388" s="11">
        <v>43559</v>
      </c>
      <c r="K388" s="12">
        <v>43560</v>
      </c>
      <c r="L388" s="11">
        <f>IF(AG1,DATE(2019,1,6),DATE(2019,4,8))</f>
        <v>43563</v>
      </c>
      <c r="M388" s="12">
        <f>IF(AG1,DATE(2019,1,6),DATE(2019,3,21))</f>
        <v>43545</v>
      </c>
      <c r="N388" s="11">
        <f>IF(AG1,DATE(2019,1,27),DATE(2019,4,2))</f>
        <v>43557</v>
      </c>
      <c r="O388" s="12">
        <v>43563</v>
      </c>
      <c r="P388" s="11">
        <v>43557</v>
      </c>
      <c r="Q388" s="12">
        <v>43569</v>
      </c>
      <c r="R388" s="11">
        <f>IF(AG1,DATE(2019,1,23),DATE(2019,3,27))</f>
        <v>43551</v>
      </c>
      <c r="S388" s="12">
        <f>IF(AG1,DATE(2019,1,4),DATE(2019,4,10))</f>
        <v>43565</v>
      </c>
      <c r="T388" s="11">
        <v>43544</v>
      </c>
      <c r="U388" s="12">
        <v>43556</v>
      </c>
      <c r="V388" s="11">
        <v>43552</v>
      </c>
      <c r="W388" s="12">
        <v>43559</v>
      </c>
      <c r="X388" s="11">
        <f>IF(AG1,DATE(2019,2,8),DATE(2019,4,8))</f>
        <v>43563</v>
      </c>
      <c r="Y388" s="12">
        <f>IF(AG1,DATE(2019,1,3),DATE(2019,4,2))</f>
        <v>43557</v>
      </c>
      <c r="Z388" s="11">
        <f>IF(AG1,DATE(2019,1,1),DATE(2019,3,27))</f>
        <v>43551</v>
      </c>
      <c r="AA388" s="12">
        <f>IF(AG1,DATE(2019,1,2),DATE(2019,3,26))</f>
        <v>43550</v>
      </c>
      <c r="AB388" s="11">
        <v>43570</v>
      </c>
      <c r="AC388" s="12">
        <f>IF(AG1,DATE(2019,1,20),DATE(2019,4,6))</f>
        <v>43561</v>
      </c>
      <c r="AD388" s="34"/>
      <c r="AE388" s="33">
        <f t="shared" si="66"/>
        <v>43544</v>
      </c>
      <c r="AF388" s="33">
        <f t="shared" si="67"/>
        <v>43557</v>
      </c>
      <c r="AG388" s="33">
        <f t="shared" si="68"/>
        <v>43570</v>
      </c>
      <c r="AH388">
        <v>485</v>
      </c>
      <c r="AK388" s="36" t="str">
        <f t="shared" si="69"/>
        <v/>
      </c>
      <c r="AL388" t="str">
        <f t="shared" si="70"/>
        <v/>
      </c>
      <c r="AM388">
        <v>9</v>
      </c>
      <c r="AN388">
        <f t="shared" si="71"/>
        <v>26</v>
      </c>
      <c r="AO388" t="str">
        <f t="shared" si="65"/>
        <v>20.3.---2.4.---15.4.</v>
      </c>
      <c r="AP388" t="str">
        <f t="shared" si="72"/>
        <v>Pajusirkku</v>
      </c>
      <c r="AQ388" t="str">
        <f t="shared" si="73"/>
        <v>(20.3.---2.4.---15.4., 9/21)</v>
      </c>
    </row>
    <row r="389" spans="1:43" x14ac:dyDescent="0.2">
      <c r="A389" s="1"/>
      <c r="B389" s="9">
        <f t="shared" si="75"/>
        <v>383</v>
      </c>
      <c r="C389" s="10"/>
      <c r="D389" s="15" t="s">
        <v>381</v>
      </c>
      <c r="E389" s="16"/>
      <c r="F389" s="11"/>
      <c r="G389" s="12"/>
      <c r="H389" s="11"/>
      <c r="I389" s="12"/>
      <c r="J389" s="11"/>
      <c r="K389" s="12"/>
      <c r="L389" s="11"/>
      <c r="M389" s="12"/>
      <c r="N389" s="11"/>
      <c r="O389" s="12"/>
      <c r="P389" s="11"/>
      <c r="Q389" s="12"/>
      <c r="R389" s="11"/>
      <c r="S389" s="12"/>
      <c r="T389" s="11"/>
      <c r="U389" s="12"/>
      <c r="V389" s="11"/>
      <c r="W389" s="12"/>
      <c r="X389" s="11"/>
      <c r="Y389" s="12"/>
      <c r="Z389" s="11">
        <v>43658</v>
      </c>
      <c r="AA389" s="12"/>
      <c r="AB389" s="11"/>
      <c r="AC389" s="12" t="s">
        <v>393</v>
      </c>
      <c r="AD389" s="34"/>
      <c r="AE389" s="33">
        <f t="shared" si="66"/>
        <v>43658</v>
      </c>
      <c r="AF389" s="33">
        <f t="shared" si="67"/>
        <v>43658</v>
      </c>
      <c r="AG389" s="33">
        <f t="shared" si="68"/>
        <v>43658</v>
      </c>
      <c r="AH389">
        <v>488</v>
      </c>
      <c r="AK389" s="36" t="str">
        <f t="shared" si="69"/>
        <v/>
      </c>
      <c r="AL389" t="str">
        <f t="shared" ref="AL389:AL391" si="76">IF(COUNTIF(F389:Z389,"&lt;01.03.2019")&gt;0,COUNTIF(F389:Z389,"&lt;01.03.2019"),"")</f>
        <v/>
      </c>
      <c r="AM389" t="s">
        <v>393</v>
      </c>
      <c r="AN389">
        <f t="shared" si="71"/>
        <v>0</v>
      </c>
      <c r="AO389" t="str">
        <f t="shared" si="65"/>
        <v>12.7.---12.7.---12.7.</v>
      </c>
      <c r="AP389" t="str">
        <f t="shared" si="72"/>
        <v>Mustapääsirkku</v>
      </c>
      <c r="AQ389" t="str">
        <f t="shared" ref="AQ389:AQ391" si="77">IF(AND(AM389&gt;0,AM389&lt;&gt;""),"(" &amp;AO389 &amp; ", " &amp; AM389 &amp; "/21)","(" &amp; AO389 &amp; ")")</f>
        <v>(12.7.---12.7.---12.7.)</v>
      </c>
    </row>
    <row r="390" spans="1:43" x14ac:dyDescent="0.2">
      <c r="A390" s="1"/>
      <c r="B390" s="9"/>
      <c r="C390" s="10"/>
      <c r="D390" s="15" t="s">
        <v>379</v>
      </c>
      <c r="E390" s="16"/>
      <c r="F390" s="11"/>
      <c r="G390" s="12"/>
      <c r="H390" s="11"/>
      <c r="I390" s="12"/>
      <c r="J390" s="11"/>
      <c r="K390" s="12">
        <v>43796</v>
      </c>
      <c r="L390" s="11"/>
      <c r="M390" s="12"/>
      <c r="N390" s="11"/>
      <c r="O390" s="12"/>
      <c r="P390" s="11"/>
      <c r="Q390" s="12"/>
      <c r="R390" s="11"/>
      <c r="S390" s="12"/>
      <c r="T390" s="11"/>
      <c r="U390" s="12"/>
      <c r="V390" s="11"/>
      <c r="W390" s="12"/>
      <c r="X390" s="11"/>
      <c r="Y390" s="12"/>
      <c r="Z390" s="11"/>
      <c r="AA390" s="12"/>
      <c r="AB390" s="11"/>
      <c r="AC390" s="12" t="s">
        <v>393</v>
      </c>
      <c r="AD390" s="34"/>
      <c r="AE390" s="33">
        <f t="shared" si="66"/>
        <v>43796</v>
      </c>
      <c r="AF390" s="33">
        <f t="shared" si="67"/>
        <v>43796</v>
      </c>
      <c r="AG390" s="33">
        <f t="shared" si="68"/>
        <v>43796</v>
      </c>
      <c r="AH390">
        <v>488.1</v>
      </c>
      <c r="AK390" s="36" t="str">
        <f t="shared" si="69"/>
        <v/>
      </c>
      <c r="AL390" t="str">
        <f t="shared" si="76"/>
        <v/>
      </c>
      <c r="AM390" t="s">
        <v>393</v>
      </c>
      <c r="AN390">
        <f t="shared" si="71"/>
        <v>0</v>
      </c>
      <c r="AO390" t="str">
        <f t="shared" si="65"/>
        <v>27.11.---27.11.---27.11.</v>
      </c>
      <c r="AP390" t="str">
        <f t="shared" si="72"/>
        <v>Ruskopääsirkku / mustapääsirkku</v>
      </c>
      <c r="AQ390" t="str">
        <f t="shared" si="77"/>
        <v>(27.11.---27.11.---27.11.)</v>
      </c>
    </row>
    <row r="391" spans="1:43" x14ac:dyDescent="0.2">
      <c r="A391" s="1"/>
      <c r="B391" s="9">
        <f>B389+1</f>
        <v>384</v>
      </c>
      <c r="C391" s="10"/>
      <c r="D391" s="15" t="s">
        <v>380</v>
      </c>
      <c r="E391" s="16"/>
      <c r="F391" s="11"/>
      <c r="G391" s="12"/>
      <c r="H391" s="11"/>
      <c r="I391" s="12"/>
      <c r="J391" s="11"/>
      <c r="K391" s="12"/>
      <c r="L391" s="11"/>
      <c r="M391" s="12"/>
      <c r="N391" s="11">
        <v>43624</v>
      </c>
      <c r="O391" s="12"/>
      <c r="P391" s="11">
        <v>43601</v>
      </c>
      <c r="Q391" s="12"/>
      <c r="R391" s="11"/>
      <c r="S391" s="12"/>
      <c r="T391" s="11"/>
      <c r="U391" s="12"/>
      <c r="V391" s="11"/>
      <c r="W391" s="12">
        <v>43610</v>
      </c>
      <c r="X391" s="11"/>
      <c r="Y391" s="12">
        <v>43599</v>
      </c>
      <c r="Z391" s="11"/>
      <c r="AA391" s="12"/>
      <c r="AB391" s="11"/>
      <c r="AC391" s="12" t="s">
        <v>393</v>
      </c>
      <c r="AD391" s="34"/>
      <c r="AE391" s="33">
        <f t="shared" si="66"/>
        <v>43599</v>
      </c>
      <c r="AF391" s="33">
        <f t="shared" si="67"/>
        <v>43605.5</v>
      </c>
      <c r="AG391" s="33">
        <f t="shared" si="68"/>
        <v>43624</v>
      </c>
      <c r="AH391">
        <v>489</v>
      </c>
      <c r="AK391" s="36" t="str">
        <f t="shared" si="69"/>
        <v/>
      </c>
      <c r="AL391" t="str">
        <f t="shared" si="76"/>
        <v/>
      </c>
      <c r="AM391" t="s">
        <v>393</v>
      </c>
      <c r="AN391">
        <f t="shared" si="71"/>
        <v>25</v>
      </c>
      <c r="AO391" t="str">
        <f t="shared" si="65"/>
        <v>14.5.---20.5.---8.6.</v>
      </c>
      <c r="AP391" t="str">
        <f t="shared" si="72"/>
        <v>Harmaasirkku</v>
      </c>
      <c r="AQ391" t="str">
        <f t="shared" si="77"/>
        <v>(14.5.---20.5.---8.6.)</v>
      </c>
    </row>
    <row r="392" spans="1:43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3"/>
      <c r="AF392" s="3"/>
      <c r="AG392" s="3"/>
    </row>
  </sheetData>
  <sortState xmlns:xlrd2="http://schemas.microsoft.com/office/spreadsheetml/2017/richdata2" ref="A4:AQ391">
    <sortCondition ref="AH4:AH391"/>
  </sortState>
  <mergeCells count="1">
    <mergeCell ref="B3:D3"/>
  </mergeCells>
  <pageMargins left="0.75" right="0.75" top="1" bottom="1" header="0.51180555555555496" footer="0.51180555555555496"/>
  <pageSetup paperSize="9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 altText="Talvihavainnot">
                <anchor moveWithCells="1">
                  <from>
                    <xdr:col>30</xdr:col>
                    <xdr:colOff>19050</xdr:colOff>
                    <xdr:row>0</xdr:row>
                    <xdr:rowOff>47625</xdr:rowOff>
                  </from>
                  <to>
                    <xdr:col>31</xdr:col>
                    <xdr:colOff>428625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73C4D-BA4C-48D4-B609-07C8B52C5083}">
  <dimension ref="A1:G277"/>
  <sheetViews>
    <sheetView workbookViewId="0">
      <selection activeCell="D3" sqref="D3"/>
    </sheetView>
  </sheetViews>
  <sheetFormatPr defaultRowHeight="12.75" x14ac:dyDescent="0.2"/>
  <cols>
    <col min="1" max="1" width="21" customWidth="1"/>
    <col min="2" max="2" width="13.140625" customWidth="1"/>
  </cols>
  <sheetData>
    <row r="1" spans="1:7" x14ac:dyDescent="0.2">
      <c r="A1" t="s">
        <v>204</v>
      </c>
      <c r="B1" s="46">
        <v>43822</v>
      </c>
      <c r="D1" s="8" t="s">
        <v>400</v>
      </c>
    </row>
    <row r="2" spans="1:7" x14ac:dyDescent="0.2">
      <c r="A2" t="s">
        <v>55</v>
      </c>
      <c r="B2" s="46">
        <v>43766</v>
      </c>
      <c r="D2" s="8" t="s">
        <v>401</v>
      </c>
    </row>
    <row r="3" spans="1:7" x14ac:dyDescent="0.2">
      <c r="A3" t="s">
        <v>139</v>
      </c>
      <c r="B3" s="46">
        <v>43750</v>
      </c>
      <c r="D3" s="28" t="s">
        <v>394</v>
      </c>
      <c r="E3" s="29"/>
      <c r="F3" s="29"/>
      <c r="G3" s="29"/>
    </row>
    <row r="4" spans="1:7" x14ac:dyDescent="0.2">
      <c r="A4" t="s">
        <v>272</v>
      </c>
      <c r="B4" s="46">
        <v>43746</v>
      </c>
      <c r="D4" s="28" t="s">
        <v>390</v>
      </c>
      <c r="E4" s="29"/>
      <c r="F4" s="29"/>
      <c r="G4" s="29"/>
    </row>
    <row r="5" spans="1:7" x14ac:dyDescent="0.2">
      <c r="A5" t="s">
        <v>309</v>
      </c>
      <c r="B5" s="46">
        <v>43744</v>
      </c>
    </row>
    <row r="6" spans="1:7" x14ac:dyDescent="0.2">
      <c r="A6" t="s">
        <v>99</v>
      </c>
      <c r="B6" s="46">
        <v>43740</v>
      </c>
    </row>
    <row r="7" spans="1:7" x14ac:dyDescent="0.2">
      <c r="A7" t="s">
        <v>161</v>
      </c>
      <c r="B7" s="46">
        <v>43730</v>
      </c>
    </row>
    <row r="8" spans="1:7" x14ac:dyDescent="0.2">
      <c r="A8" t="s">
        <v>384</v>
      </c>
      <c r="B8" s="46">
        <v>43727</v>
      </c>
    </row>
    <row r="9" spans="1:7" x14ac:dyDescent="0.2">
      <c r="A9" t="s">
        <v>143</v>
      </c>
      <c r="B9" s="46">
        <v>43719</v>
      </c>
    </row>
    <row r="10" spans="1:7" x14ac:dyDescent="0.2">
      <c r="A10" t="s">
        <v>142</v>
      </c>
      <c r="B10" s="46">
        <v>43709</v>
      </c>
    </row>
    <row r="11" spans="1:7" x14ac:dyDescent="0.2">
      <c r="A11" t="s">
        <v>310</v>
      </c>
      <c r="B11" s="46">
        <v>43704</v>
      </c>
    </row>
    <row r="12" spans="1:7" x14ac:dyDescent="0.2">
      <c r="A12" t="s">
        <v>96</v>
      </c>
      <c r="B12" s="46">
        <v>43699</v>
      </c>
    </row>
    <row r="13" spans="1:7" x14ac:dyDescent="0.2">
      <c r="A13" t="s">
        <v>53</v>
      </c>
      <c r="B13" s="46">
        <v>43697</v>
      </c>
    </row>
    <row r="14" spans="1:7" x14ac:dyDescent="0.2">
      <c r="A14" t="s">
        <v>302</v>
      </c>
      <c r="B14" s="46">
        <v>43688</v>
      </c>
    </row>
    <row r="15" spans="1:7" x14ac:dyDescent="0.2">
      <c r="A15" t="s">
        <v>179</v>
      </c>
      <c r="B15" s="46">
        <v>43683</v>
      </c>
    </row>
    <row r="16" spans="1:7" x14ac:dyDescent="0.2">
      <c r="A16" t="s">
        <v>216</v>
      </c>
      <c r="B16" s="46">
        <v>43674</v>
      </c>
    </row>
    <row r="17" spans="1:2" x14ac:dyDescent="0.2">
      <c r="A17" t="s">
        <v>288</v>
      </c>
      <c r="B17" s="46">
        <v>43659</v>
      </c>
    </row>
    <row r="18" spans="1:2" x14ac:dyDescent="0.2">
      <c r="A18" t="s">
        <v>388</v>
      </c>
      <c r="B18" s="46">
        <v>43659</v>
      </c>
    </row>
    <row r="19" spans="1:2" x14ac:dyDescent="0.2">
      <c r="A19" t="s">
        <v>252</v>
      </c>
      <c r="B19" s="46">
        <v>43654</v>
      </c>
    </row>
    <row r="20" spans="1:2" x14ac:dyDescent="0.2">
      <c r="A20" t="s">
        <v>34</v>
      </c>
      <c r="B20" s="46">
        <v>43652</v>
      </c>
    </row>
    <row r="21" spans="1:2" x14ac:dyDescent="0.2">
      <c r="A21" t="s">
        <v>298</v>
      </c>
      <c r="B21" s="46">
        <v>43645</v>
      </c>
    </row>
    <row r="22" spans="1:2" x14ac:dyDescent="0.2">
      <c r="A22" t="s">
        <v>339</v>
      </c>
      <c r="B22" s="46">
        <v>43642</v>
      </c>
    </row>
    <row r="23" spans="1:2" x14ac:dyDescent="0.2">
      <c r="A23" t="s">
        <v>395</v>
      </c>
      <c r="B23" s="46">
        <v>43641</v>
      </c>
    </row>
    <row r="24" spans="1:2" x14ac:dyDescent="0.2">
      <c r="A24" t="s">
        <v>308</v>
      </c>
      <c r="B24" s="46">
        <v>43631</v>
      </c>
    </row>
    <row r="25" spans="1:2" x14ac:dyDescent="0.2">
      <c r="A25" t="s">
        <v>177</v>
      </c>
      <c r="B25" s="46">
        <v>43629</v>
      </c>
    </row>
    <row r="26" spans="1:2" x14ac:dyDescent="0.2">
      <c r="A26" t="s">
        <v>376</v>
      </c>
      <c r="B26" s="46">
        <v>43627</v>
      </c>
    </row>
    <row r="27" spans="1:2" x14ac:dyDescent="0.2">
      <c r="A27" t="s">
        <v>382</v>
      </c>
      <c r="B27" s="46">
        <v>43626</v>
      </c>
    </row>
    <row r="28" spans="1:2" x14ac:dyDescent="0.2">
      <c r="A28" t="s">
        <v>89</v>
      </c>
      <c r="B28" s="46">
        <v>43626</v>
      </c>
    </row>
    <row r="29" spans="1:2" x14ac:dyDescent="0.2">
      <c r="A29" t="s">
        <v>219</v>
      </c>
      <c r="B29" s="46">
        <v>43617</v>
      </c>
    </row>
    <row r="30" spans="1:2" x14ac:dyDescent="0.2">
      <c r="A30" t="s">
        <v>293</v>
      </c>
      <c r="B30" s="46">
        <v>43615</v>
      </c>
    </row>
    <row r="31" spans="1:2" x14ac:dyDescent="0.2">
      <c r="A31" t="s">
        <v>336</v>
      </c>
      <c r="B31" s="46">
        <v>43613</v>
      </c>
    </row>
    <row r="32" spans="1:2" x14ac:dyDescent="0.2">
      <c r="A32" t="s">
        <v>126</v>
      </c>
      <c r="B32" s="46">
        <v>43612</v>
      </c>
    </row>
    <row r="33" spans="1:2" x14ac:dyDescent="0.2">
      <c r="A33" t="s">
        <v>171</v>
      </c>
      <c r="B33" s="46">
        <v>43612</v>
      </c>
    </row>
    <row r="34" spans="1:2" x14ac:dyDescent="0.2">
      <c r="A34" t="s">
        <v>201</v>
      </c>
      <c r="B34" s="46">
        <v>43612</v>
      </c>
    </row>
    <row r="35" spans="1:2" x14ac:dyDescent="0.2">
      <c r="A35" t="s">
        <v>75</v>
      </c>
      <c r="B35" s="46">
        <v>43609</v>
      </c>
    </row>
    <row r="36" spans="1:2" x14ac:dyDescent="0.2">
      <c r="A36" t="s">
        <v>145</v>
      </c>
      <c r="B36" s="46">
        <v>43609</v>
      </c>
    </row>
    <row r="37" spans="1:2" x14ac:dyDescent="0.2">
      <c r="A37" t="s">
        <v>297</v>
      </c>
      <c r="B37" s="46">
        <v>43609</v>
      </c>
    </row>
    <row r="38" spans="1:2" x14ac:dyDescent="0.2">
      <c r="A38" t="s">
        <v>290</v>
      </c>
      <c r="B38" s="46">
        <v>43608</v>
      </c>
    </row>
    <row r="39" spans="1:2" x14ac:dyDescent="0.2">
      <c r="A39" t="s">
        <v>134</v>
      </c>
      <c r="B39" s="46">
        <v>43607</v>
      </c>
    </row>
    <row r="40" spans="1:2" x14ac:dyDescent="0.2">
      <c r="A40" t="s">
        <v>307</v>
      </c>
      <c r="B40" s="46">
        <v>43607</v>
      </c>
    </row>
    <row r="41" spans="1:2" x14ac:dyDescent="0.2">
      <c r="A41" t="s">
        <v>295</v>
      </c>
      <c r="B41" s="46">
        <v>43606</v>
      </c>
    </row>
    <row r="42" spans="1:2" x14ac:dyDescent="0.2">
      <c r="A42" t="s">
        <v>170</v>
      </c>
      <c r="B42" s="46">
        <v>43605</v>
      </c>
    </row>
    <row r="43" spans="1:2" x14ac:dyDescent="0.2">
      <c r="A43" t="s">
        <v>104</v>
      </c>
      <c r="B43" s="46">
        <v>43604</v>
      </c>
    </row>
    <row r="44" spans="1:2" x14ac:dyDescent="0.2">
      <c r="A44" t="s">
        <v>262</v>
      </c>
      <c r="B44" s="46">
        <v>43604</v>
      </c>
    </row>
    <row r="45" spans="1:2" x14ac:dyDescent="0.2">
      <c r="A45" t="s">
        <v>163</v>
      </c>
      <c r="B45" s="46">
        <v>43603</v>
      </c>
    </row>
    <row r="46" spans="1:2" x14ac:dyDescent="0.2">
      <c r="A46" t="s">
        <v>165</v>
      </c>
      <c r="B46" s="46">
        <v>43603</v>
      </c>
    </row>
    <row r="47" spans="1:2" x14ac:dyDescent="0.2">
      <c r="A47" t="s">
        <v>141</v>
      </c>
      <c r="B47" s="46">
        <v>43602</v>
      </c>
    </row>
    <row r="48" spans="1:2" x14ac:dyDescent="0.2">
      <c r="A48" t="s">
        <v>305</v>
      </c>
      <c r="B48" s="46">
        <v>43602</v>
      </c>
    </row>
    <row r="49" spans="1:2" x14ac:dyDescent="0.2">
      <c r="A49" t="s">
        <v>338</v>
      </c>
      <c r="B49" s="46">
        <v>43602</v>
      </c>
    </row>
    <row r="50" spans="1:2" x14ac:dyDescent="0.2">
      <c r="A50" t="s">
        <v>137</v>
      </c>
      <c r="B50" s="46">
        <v>43601</v>
      </c>
    </row>
    <row r="51" spans="1:2" x14ac:dyDescent="0.2">
      <c r="A51" t="s">
        <v>168</v>
      </c>
      <c r="B51" s="46">
        <v>43601</v>
      </c>
    </row>
    <row r="52" spans="1:2" x14ac:dyDescent="0.2">
      <c r="A52" t="s">
        <v>249</v>
      </c>
      <c r="B52" s="46">
        <v>43601</v>
      </c>
    </row>
    <row r="53" spans="1:2" x14ac:dyDescent="0.2">
      <c r="A53" t="s">
        <v>289</v>
      </c>
      <c r="B53" s="46">
        <v>43601</v>
      </c>
    </row>
    <row r="54" spans="1:2" x14ac:dyDescent="0.2">
      <c r="A54" t="s">
        <v>82</v>
      </c>
      <c r="B54" s="46">
        <v>43600</v>
      </c>
    </row>
    <row r="55" spans="1:2" x14ac:dyDescent="0.2">
      <c r="A55" t="s">
        <v>147</v>
      </c>
      <c r="B55" s="46">
        <v>43600</v>
      </c>
    </row>
    <row r="56" spans="1:2" x14ac:dyDescent="0.2">
      <c r="A56" t="s">
        <v>178</v>
      </c>
      <c r="B56" s="46">
        <v>43600</v>
      </c>
    </row>
    <row r="57" spans="1:2" x14ac:dyDescent="0.2">
      <c r="A57" t="s">
        <v>304</v>
      </c>
      <c r="B57" s="46">
        <v>43600</v>
      </c>
    </row>
    <row r="58" spans="1:2" x14ac:dyDescent="0.2">
      <c r="A58" t="s">
        <v>320</v>
      </c>
      <c r="B58" s="46">
        <v>43599</v>
      </c>
    </row>
    <row r="59" spans="1:2" x14ac:dyDescent="0.2">
      <c r="A59" t="s">
        <v>119</v>
      </c>
      <c r="B59" s="46">
        <v>43598</v>
      </c>
    </row>
    <row r="60" spans="1:2" x14ac:dyDescent="0.2">
      <c r="A60" t="s">
        <v>217</v>
      </c>
      <c r="B60" s="46">
        <v>43598</v>
      </c>
    </row>
    <row r="61" spans="1:2" x14ac:dyDescent="0.2">
      <c r="A61" t="s">
        <v>294</v>
      </c>
      <c r="B61" s="46">
        <v>43598</v>
      </c>
    </row>
    <row r="62" spans="1:2" x14ac:dyDescent="0.2">
      <c r="A62" t="s">
        <v>12</v>
      </c>
      <c r="B62" s="46">
        <v>43597</v>
      </c>
    </row>
    <row r="63" spans="1:2" x14ac:dyDescent="0.2">
      <c r="A63" t="s">
        <v>54</v>
      </c>
      <c r="B63" s="46">
        <v>43597</v>
      </c>
    </row>
    <row r="64" spans="1:2" x14ac:dyDescent="0.2">
      <c r="A64" t="s">
        <v>266</v>
      </c>
      <c r="B64" s="46">
        <v>43597</v>
      </c>
    </row>
    <row r="65" spans="1:2" x14ac:dyDescent="0.2">
      <c r="A65" t="s">
        <v>319</v>
      </c>
      <c r="B65" s="46">
        <v>43597</v>
      </c>
    </row>
    <row r="66" spans="1:2" x14ac:dyDescent="0.2">
      <c r="A66" t="s">
        <v>397</v>
      </c>
      <c r="B66" s="46">
        <v>43596</v>
      </c>
    </row>
    <row r="67" spans="1:2" x14ac:dyDescent="0.2">
      <c r="A67" t="s">
        <v>366</v>
      </c>
      <c r="B67" s="46">
        <v>43595</v>
      </c>
    </row>
    <row r="68" spans="1:2" x14ac:dyDescent="0.2">
      <c r="A68" t="s">
        <v>374</v>
      </c>
      <c r="B68" s="46">
        <v>43595</v>
      </c>
    </row>
    <row r="69" spans="1:2" x14ac:dyDescent="0.2">
      <c r="A69" t="s">
        <v>135</v>
      </c>
      <c r="B69" s="46">
        <v>43594</v>
      </c>
    </row>
    <row r="70" spans="1:2" x14ac:dyDescent="0.2">
      <c r="A70" t="s">
        <v>173</v>
      </c>
      <c r="B70" s="46">
        <v>43594</v>
      </c>
    </row>
    <row r="71" spans="1:2" x14ac:dyDescent="0.2">
      <c r="A71" t="s">
        <v>203</v>
      </c>
      <c r="B71" s="46">
        <v>43594</v>
      </c>
    </row>
    <row r="72" spans="1:2" x14ac:dyDescent="0.2">
      <c r="A72" t="s">
        <v>314</v>
      </c>
      <c r="B72" s="46">
        <v>43594</v>
      </c>
    </row>
    <row r="73" spans="1:2" x14ac:dyDescent="0.2">
      <c r="A73" t="s">
        <v>333</v>
      </c>
      <c r="B73" s="46">
        <v>43594</v>
      </c>
    </row>
    <row r="74" spans="1:2" x14ac:dyDescent="0.2">
      <c r="A74" t="s">
        <v>132</v>
      </c>
      <c r="B74" s="46">
        <v>43592</v>
      </c>
    </row>
    <row r="75" spans="1:2" x14ac:dyDescent="0.2">
      <c r="A75" t="s">
        <v>157</v>
      </c>
      <c r="B75" s="46">
        <v>43592</v>
      </c>
    </row>
    <row r="76" spans="1:2" x14ac:dyDescent="0.2">
      <c r="A76" t="s">
        <v>131</v>
      </c>
      <c r="B76" s="46">
        <v>43592</v>
      </c>
    </row>
    <row r="77" spans="1:2" x14ac:dyDescent="0.2">
      <c r="A77" t="s">
        <v>303</v>
      </c>
      <c r="B77" s="46">
        <v>43592</v>
      </c>
    </row>
    <row r="78" spans="1:2" x14ac:dyDescent="0.2">
      <c r="A78" t="s">
        <v>136</v>
      </c>
      <c r="B78" s="46">
        <v>43591</v>
      </c>
    </row>
    <row r="79" spans="1:2" x14ac:dyDescent="0.2">
      <c r="A79" t="s">
        <v>164</v>
      </c>
      <c r="B79" s="46">
        <v>43591</v>
      </c>
    </row>
    <row r="80" spans="1:2" x14ac:dyDescent="0.2">
      <c r="A80" t="s">
        <v>264</v>
      </c>
      <c r="B80" s="46">
        <v>43591</v>
      </c>
    </row>
    <row r="81" spans="1:2" x14ac:dyDescent="0.2">
      <c r="A81" t="s">
        <v>28</v>
      </c>
      <c r="B81" s="46">
        <v>43590</v>
      </c>
    </row>
    <row r="82" spans="1:2" x14ac:dyDescent="0.2">
      <c r="A82" t="s">
        <v>32</v>
      </c>
      <c r="B82" s="46">
        <v>43590</v>
      </c>
    </row>
    <row r="83" spans="1:2" x14ac:dyDescent="0.2">
      <c r="A83" t="s">
        <v>73</v>
      </c>
      <c r="B83" s="46">
        <v>43590</v>
      </c>
    </row>
    <row r="84" spans="1:2" x14ac:dyDescent="0.2">
      <c r="A84" t="s">
        <v>223</v>
      </c>
      <c r="B84" s="46">
        <v>43590</v>
      </c>
    </row>
    <row r="85" spans="1:2" x14ac:dyDescent="0.2">
      <c r="A85" t="s">
        <v>31</v>
      </c>
      <c r="B85" s="46">
        <v>43588</v>
      </c>
    </row>
    <row r="86" spans="1:2" x14ac:dyDescent="0.2">
      <c r="A86" t="s">
        <v>88</v>
      </c>
      <c r="B86" s="46">
        <v>43588</v>
      </c>
    </row>
    <row r="87" spans="1:2" x14ac:dyDescent="0.2">
      <c r="A87" t="s">
        <v>102</v>
      </c>
      <c r="B87" s="46">
        <v>43588</v>
      </c>
    </row>
    <row r="88" spans="1:2" x14ac:dyDescent="0.2">
      <c r="A88" t="s">
        <v>58</v>
      </c>
      <c r="B88" s="46">
        <v>43587</v>
      </c>
    </row>
    <row r="89" spans="1:2" x14ac:dyDescent="0.2">
      <c r="A89" t="s">
        <v>181</v>
      </c>
      <c r="B89" s="46">
        <v>43587</v>
      </c>
    </row>
    <row r="90" spans="1:2" x14ac:dyDescent="0.2">
      <c r="A90" t="s">
        <v>169</v>
      </c>
      <c r="B90" s="46">
        <v>43587</v>
      </c>
    </row>
    <row r="91" spans="1:2" x14ac:dyDescent="0.2">
      <c r="A91" t="s">
        <v>57</v>
      </c>
      <c r="B91" s="46">
        <v>43586</v>
      </c>
    </row>
    <row r="92" spans="1:2" x14ac:dyDescent="0.2">
      <c r="A92" t="s">
        <v>70</v>
      </c>
      <c r="B92" s="46">
        <v>43586</v>
      </c>
    </row>
    <row r="93" spans="1:2" x14ac:dyDescent="0.2">
      <c r="A93" t="s">
        <v>182</v>
      </c>
      <c r="B93" s="46">
        <v>43585</v>
      </c>
    </row>
    <row r="94" spans="1:2" x14ac:dyDescent="0.2">
      <c r="A94" t="s">
        <v>237</v>
      </c>
      <c r="B94" s="46">
        <v>43585</v>
      </c>
    </row>
    <row r="95" spans="1:2" x14ac:dyDescent="0.2">
      <c r="A95" t="s">
        <v>239</v>
      </c>
      <c r="B95" s="46">
        <v>43585</v>
      </c>
    </row>
    <row r="96" spans="1:2" x14ac:dyDescent="0.2">
      <c r="A96" t="s">
        <v>267</v>
      </c>
      <c r="B96" s="46">
        <v>43585</v>
      </c>
    </row>
    <row r="97" spans="1:2" x14ac:dyDescent="0.2">
      <c r="A97" t="s">
        <v>13</v>
      </c>
      <c r="B97" s="46">
        <v>43584</v>
      </c>
    </row>
    <row r="98" spans="1:2" x14ac:dyDescent="0.2">
      <c r="A98" t="s">
        <v>21</v>
      </c>
      <c r="B98" s="46">
        <v>43584</v>
      </c>
    </row>
    <row r="99" spans="1:2" x14ac:dyDescent="0.2">
      <c r="A99" t="s">
        <v>51</v>
      </c>
      <c r="B99" s="46">
        <v>43584</v>
      </c>
    </row>
    <row r="100" spans="1:2" x14ac:dyDescent="0.2">
      <c r="A100" t="s">
        <v>52</v>
      </c>
      <c r="B100" s="46">
        <v>43584</v>
      </c>
    </row>
    <row r="101" spans="1:2" x14ac:dyDescent="0.2">
      <c r="A101" t="s">
        <v>151</v>
      </c>
      <c r="B101" s="46">
        <v>43584</v>
      </c>
    </row>
    <row r="102" spans="1:2" x14ac:dyDescent="0.2">
      <c r="A102" t="s">
        <v>180</v>
      </c>
      <c r="B102" s="46">
        <v>43584</v>
      </c>
    </row>
    <row r="103" spans="1:2" x14ac:dyDescent="0.2">
      <c r="A103" t="s">
        <v>222</v>
      </c>
      <c r="B103" s="46">
        <v>43584</v>
      </c>
    </row>
    <row r="104" spans="1:2" x14ac:dyDescent="0.2">
      <c r="A104" t="s">
        <v>154</v>
      </c>
      <c r="B104" s="46">
        <v>43583</v>
      </c>
    </row>
    <row r="105" spans="1:2" x14ac:dyDescent="0.2">
      <c r="A105" t="s">
        <v>269</v>
      </c>
      <c r="B105" s="46">
        <v>43583</v>
      </c>
    </row>
    <row r="106" spans="1:2" x14ac:dyDescent="0.2">
      <c r="A106" t="s">
        <v>268</v>
      </c>
      <c r="B106" s="46">
        <v>43582</v>
      </c>
    </row>
    <row r="107" spans="1:2" x14ac:dyDescent="0.2">
      <c r="A107" t="s">
        <v>322</v>
      </c>
      <c r="B107" s="46">
        <v>43582</v>
      </c>
    </row>
    <row r="108" spans="1:2" x14ac:dyDescent="0.2">
      <c r="A108" t="s">
        <v>130</v>
      </c>
      <c r="B108" s="46">
        <v>43581</v>
      </c>
    </row>
    <row r="109" spans="1:2" x14ac:dyDescent="0.2">
      <c r="A109" t="s">
        <v>127</v>
      </c>
      <c r="B109" s="46">
        <v>43581</v>
      </c>
    </row>
    <row r="110" spans="1:2" x14ac:dyDescent="0.2">
      <c r="A110" t="s">
        <v>152</v>
      </c>
      <c r="B110" s="46">
        <v>43581</v>
      </c>
    </row>
    <row r="111" spans="1:2" x14ac:dyDescent="0.2">
      <c r="A111" t="s">
        <v>148</v>
      </c>
      <c r="B111" s="46">
        <v>43581</v>
      </c>
    </row>
    <row r="112" spans="1:2" x14ac:dyDescent="0.2">
      <c r="A112" t="s">
        <v>316</v>
      </c>
      <c r="B112" s="46">
        <v>43581</v>
      </c>
    </row>
    <row r="113" spans="1:2" x14ac:dyDescent="0.2">
      <c r="A113" t="s">
        <v>251</v>
      </c>
      <c r="B113" s="46">
        <v>43580</v>
      </c>
    </row>
    <row r="114" spans="1:2" x14ac:dyDescent="0.2">
      <c r="A114" t="s">
        <v>8</v>
      </c>
      <c r="B114" s="46">
        <v>43578</v>
      </c>
    </row>
    <row r="115" spans="1:2" x14ac:dyDescent="0.2">
      <c r="A115" t="s">
        <v>74</v>
      </c>
      <c r="B115" s="46">
        <v>43578</v>
      </c>
    </row>
    <row r="116" spans="1:2" x14ac:dyDescent="0.2">
      <c r="A116" t="s">
        <v>138</v>
      </c>
      <c r="B116" s="46">
        <v>43578</v>
      </c>
    </row>
    <row r="117" spans="1:2" x14ac:dyDescent="0.2">
      <c r="A117" t="s">
        <v>155</v>
      </c>
      <c r="B117" s="46">
        <v>43578</v>
      </c>
    </row>
    <row r="118" spans="1:2" x14ac:dyDescent="0.2">
      <c r="A118" t="s">
        <v>94</v>
      </c>
      <c r="B118" s="46">
        <v>43577</v>
      </c>
    </row>
    <row r="119" spans="1:2" x14ac:dyDescent="0.2">
      <c r="A119" t="s">
        <v>175</v>
      </c>
      <c r="B119" s="46">
        <v>43577</v>
      </c>
    </row>
    <row r="120" spans="1:2" x14ac:dyDescent="0.2">
      <c r="A120" t="s">
        <v>24</v>
      </c>
      <c r="B120" s="46">
        <v>43576</v>
      </c>
    </row>
    <row r="121" spans="1:2" x14ac:dyDescent="0.2">
      <c r="A121" t="s">
        <v>26</v>
      </c>
      <c r="B121" s="46">
        <v>43575</v>
      </c>
    </row>
    <row r="122" spans="1:2" x14ac:dyDescent="0.2">
      <c r="A122" t="s">
        <v>30</v>
      </c>
      <c r="B122" s="46">
        <v>43575</v>
      </c>
    </row>
    <row r="123" spans="1:2" x14ac:dyDescent="0.2">
      <c r="A123" t="s">
        <v>56</v>
      </c>
      <c r="B123" s="46">
        <v>43575</v>
      </c>
    </row>
    <row r="124" spans="1:2" x14ac:dyDescent="0.2">
      <c r="A124" t="s">
        <v>65</v>
      </c>
      <c r="B124" s="46">
        <v>43575</v>
      </c>
    </row>
    <row r="125" spans="1:2" x14ac:dyDescent="0.2">
      <c r="A125" t="s">
        <v>67</v>
      </c>
      <c r="B125" s="46">
        <v>43575</v>
      </c>
    </row>
    <row r="126" spans="1:2" x14ac:dyDescent="0.2">
      <c r="A126" t="s">
        <v>133</v>
      </c>
      <c r="B126" s="46">
        <v>43575</v>
      </c>
    </row>
    <row r="127" spans="1:2" x14ac:dyDescent="0.2">
      <c r="A127" t="s">
        <v>19</v>
      </c>
      <c r="B127" s="46">
        <v>43574</v>
      </c>
    </row>
    <row r="128" spans="1:2" x14ac:dyDescent="0.2">
      <c r="A128" t="s">
        <v>105</v>
      </c>
      <c r="B128" s="46">
        <v>43574</v>
      </c>
    </row>
    <row r="129" spans="1:2" x14ac:dyDescent="0.2">
      <c r="A129" t="s">
        <v>160</v>
      </c>
      <c r="B129" s="46">
        <v>43574</v>
      </c>
    </row>
    <row r="130" spans="1:2" x14ac:dyDescent="0.2">
      <c r="A130" t="s">
        <v>3</v>
      </c>
      <c r="B130" s="46">
        <v>43572</v>
      </c>
    </row>
    <row r="131" spans="1:2" x14ac:dyDescent="0.2">
      <c r="A131" t="s">
        <v>40</v>
      </c>
      <c r="B131" s="46">
        <v>43571</v>
      </c>
    </row>
    <row r="132" spans="1:2" x14ac:dyDescent="0.2">
      <c r="A132" t="s">
        <v>41</v>
      </c>
      <c r="B132" s="46">
        <v>43571</v>
      </c>
    </row>
    <row r="133" spans="1:2" x14ac:dyDescent="0.2">
      <c r="A133" t="s">
        <v>122</v>
      </c>
      <c r="B133" s="46">
        <v>43571</v>
      </c>
    </row>
    <row r="134" spans="1:2" x14ac:dyDescent="0.2">
      <c r="A134" t="s">
        <v>129</v>
      </c>
      <c r="B134" s="46">
        <v>43571</v>
      </c>
    </row>
    <row r="135" spans="1:2" x14ac:dyDescent="0.2">
      <c r="A135" t="s">
        <v>150</v>
      </c>
      <c r="B135" s="46">
        <v>43571</v>
      </c>
    </row>
    <row r="136" spans="1:2" x14ac:dyDescent="0.2">
      <c r="A136" t="s">
        <v>238</v>
      </c>
      <c r="B136" s="46">
        <v>43571</v>
      </c>
    </row>
    <row r="137" spans="1:2" x14ac:dyDescent="0.2">
      <c r="A137" t="s">
        <v>399</v>
      </c>
      <c r="B137" s="46">
        <v>43570</v>
      </c>
    </row>
    <row r="138" spans="1:2" x14ac:dyDescent="0.2">
      <c r="A138" t="s">
        <v>247</v>
      </c>
      <c r="B138" s="46">
        <v>43570</v>
      </c>
    </row>
    <row r="139" spans="1:2" x14ac:dyDescent="0.2">
      <c r="A139" t="s">
        <v>253</v>
      </c>
      <c r="B139" s="46">
        <v>43570</v>
      </c>
    </row>
    <row r="140" spans="1:2" x14ac:dyDescent="0.2">
      <c r="A140" t="s">
        <v>273</v>
      </c>
      <c r="B140" s="46">
        <v>43570</v>
      </c>
    </row>
    <row r="141" spans="1:2" x14ac:dyDescent="0.2">
      <c r="A141" t="s">
        <v>271</v>
      </c>
      <c r="B141" s="46">
        <v>43570</v>
      </c>
    </row>
    <row r="142" spans="1:2" x14ac:dyDescent="0.2">
      <c r="A142" t="s">
        <v>23</v>
      </c>
      <c r="B142" s="46">
        <v>43568</v>
      </c>
    </row>
    <row r="143" spans="1:2" x14ac:dyDescent="0.2">
      <c r="A143" t="s">
        <v>98</v>
      </c>
      <c r="B143" s="46">
        <v>43568</v>
      </c>
    </row>
    <row r="144" spans="1:2" x14ac:dyDescent="0.2">
      <c r="A144" t="s">
        <v>106</v>
      </c>
      <c r="B144" s="46">
        <v>43568</v>
      </c>
    </row>
    <row r="145" spans="1:2" x14ac:dyDescent="0.2">
      <c r="A145" t="s">
        <v>278</v>
      </c>
      <c r="B145" s="46">
        <v>43568</v>
      </c>
    </row>
    <row r="146" spans="1:2" x14ac:dyDescent="0.2">
      <c r="A146" t="s">
        <v>11</v>
      </c>
      <c r="B146" s="46">
        <v>43567</v>
      </c>
    </row>
    <row r="147" spans="1:2" x14ac:dyDescent="0.2">
      <c r="A147" t="s">
        <v>101</v>
      </c>
      <c r="B147" s="46">
        <v>43567</v>
      </c>
    </row>
    <row r="148" spans="1:2" x14ac:dyDescent="0.2">
      <c r="A148" t="s">
        <v>156</v>
      </c>
      <c r="B148" s="46">
        <v>43567</v>
      </c>
    </row>
    <row r="149" spans="1:2" x14ac:dyDescent="0.2">
      <c r="A149" t="s">
        <v>315</v>
      </c>
      <c r="B149" s="46">
        <v>43567</v>
      </c>
    </row>
    <row r="150" spans="1:2" x14ac:dyDescent="0.2">
      <c r="A150" t="s">
        <v>79</v>
      </c>
      <c r="B150" s="46">
        <v>43566</v>
      </c>
    </row>
    <row r="151" spans="1:2" x14ac:dyDescent="0.2">
      <c r="A151" t="s">
        <v>81</v>
      </c>
      <c r="B151" s="46">
        <v>43566</v>
      </c>
    </row>
    <row r="152" spans="1:2" x14ac:dyDescent="0.2">
      <c r="A152" t="s">
        <v>114</v>
      </c>
      <c r="B152" s="46">
        <v>43566</v>
      </c>
    </row>
    <row r="153" spans="1:2" x14ac:dyDescent="0.2">
      <c r="A153" t="s">
        <v>191</v>
      </c>
      <c r="B153" s="46">
        <v>43566</v>
      </c>
    </row>
    <row r="154" spans="1:2" x14ac:dyDescent="0.2">
      <c r="A154" t="s">
        <v>284</v>
      </c>
      <c r="B154" s="46">
        <v>43566</v>
      </c>
    </row>
    <row r="155" spans="1:2" x14ac:dyDescent="0.2">
      <c r="A155" t="s">
        <v>375</v>
      </c>
      <c r="B155" s="46">
        <v>43566</v>
      </c>
    </row>
    <row r="156" spans="1:2" x14ac:dyDescent="0.2">
      <c r="A156" t="s">
        <v>15</v>
      </c>
      <c r="B156" s="46">
        <v>43565</v>
      </c>
    </row>
    <row r="157" spans="1:2" x14ac:dyDescent="0.2">
      <c r="A157" t="s">
        <v>128</v>
      </c>
      <c r="B157" s="46">
        <v>43565</v>
      </c>
    </row>
    <row r="158" spans="1:2" x14ac:dyDescent="0.2">
      <c r="A158" t="s">
        <v>236</v>
      </c>
      <c r="B158" s="46">
        <v>43565</v>
      </c>
    </row>
    <row r="159" spans="1:2" x14ac:dyDescent="0.2">
      <c r="A159" t="s">
        <v>250</v>
      </c>
      <c r="B159" s="46">
        <v>43565</v>
      </c>
    </row>
    <row r="160" spans="1:2" x14ac:dyDescent="0.2">
      <c r="A160" t="s">
        <v>258</v>
      </c>
      <c r="B160" s="46">
        <v>43565</v>
      </c>
    </row>
    <row r="161" spans="1:2" x14ac:dyDescent="0.2">
      <c r="A161" t="s">
        <v>285</v>
      </c>
      <c r="B161" s="46">
        <v>43565</v>
      </c>
    </row>
    <row r="162" spans="1:2" x14ac:dyDescent="0.2">
      <c r="A162" t="s">
        <v>10</v>
      </c>
      <c r="B162" s="46">
        <v>43564</v>
      </c>
    </row>
    <row r="163" spans="1:2" x14ac:dyDescent="0.2">
      <c r="A163" t="s">
        <v>123</v>
      </c>
      <c r="B163" s="46">
        <v>43564</v>
      </c>
    </row>
    <row r="164" spans="1:2" x14ac:dyDescent="0.2">
      <c r="A164" t="s">
        <v>234</v>
      </c>
      <c r="B164" s="46">
        <v>43564</v>
      </c>
    </row>
    <row r="165" spans="1:2" x14ac:dyDescent="0.2">
      <c r="A165" t="s">
        <v>7</v>
      </c>
      <c r="B165" s="46">
        <v>43563</v>
      </c>
    </row>
    <row r="166" spans="1:2" x14ac:dyDescent="0.2">
      <c r="A166" t="s">
        <v>248</v>
      </c>
      <c r="B166" s="46">
        <v>43563</v>
      </c>
    </row>
    <row r="167" spans="1:2" x14ac:dyDescent="0.2">
      <c r="A167" t="s">
        <v>6</v>
      </c>
      <c r="B167" s="46">
        <v>43562</v>
      </c>
    </row>
    <row r="168" spans="1:2" x14ac:dyDescent="0.2">
      <c r="A168" t="s">
        <v>80</v>
      </c>
      <c r="B168" s="46">
        <v>43562</v>
      </c>
    </row>
    <row r="169" spans="1:2" x14ac:dyDescent="0.2">
      <c r="A169" t="s">
        <v>100</v>
      </c>
      <c r="B169" s="46">
        <v>43562</v>
      </c>
    </row>
    <row r="170" spans="1:2" x14ac:dyDescent="0.2">
      <c r="A170" t="s">
        <v>107</v>
      </c>
      <c r="B170" s="46">
        <v>43562</v>
      </c>
    </row>
    <row r="171" spans="1:2" x14ac:dyDescent="0.2">
      <c r="A171" t="s">
        <v>186</v>
      </c>
      <c r="B171" s="46">
        <v>43562</v>
      </c>
    </row>
    <row r="172" spans="1:2" x14ac:dyDescent="0.2">
      <c r="A172" t="s">
        <v>257</v>
      </c>
      <c r="B172" s="46">
        <v>43562</v>
      </c>
    </row>
    <row r="173" spans="1:2" x14ac:dyDescent="0.2">
      <c r="A173" t="s">
        <v>286</v>
      </c>
      <c r="B173" s="46">
        <v>43562</v>
      </c>
    </row>
    <row r="174" spans="1:2" x14ac:dyDescent="0.2">
      <c r="A174" t="s">
        <v>86</v>
      </c>
      <c r="B174" s="46">
        <v>43561</v>
      </c>
    </row>
    <row r="175" spans="1:2" x14ac:dyDescent="0.2">
      <c r="A175" t="s">
        <v>121</v>
      </c>
      <c r="B175" s="46">
        <v>43561</v>
      </c>
    </row>
    <row r="176" spans="1:2" x14ac:dyDescent="0.2">
      <c r="A176" t="s">
        <v>254</v>
      </c>
      <c r="B176" s="46">
        <v>43561</v>
      </c>
    </row>
    <row r="177" spans="1:2" x14ac:dyDescent="0.2">
      <c r="A177" t="s">
        <v>68</v>
      </c>
      <c r="B177" s="46">
        <v>43560</v>
      </c>
    </row>
    <row r="178" spans="1:2" x14ac:dyDescent="0.2">
      <c r="A178" t="s">
        <v>118</v>
      </c>
      <c r="B178" s="46">
        <v>43560</v>
      </c>
    </row>
    <row r="179" spans="1:2" x14ac:dyDescent="0.2">
      <c r="A179" t="s">
        <v>235</v>
      </c>
      <c r="B179" s="46">
        <v>43560</v>
      </c>
    </row>
    <row r="180" spans="1:2" x14ac:dyDescent="0.2">
      <c r="A180" t="s">
        <v>370</v>
      </c>
      <c r="B180" s="46">
        <v>43552</v>
      </c>
    </row>
    <row r="181" spans="1:2" x14ac:dyDescent="0.2">
      <c r="A181" t="s">
        <v>2</v>
      </c>
      <c r="B181" s="46">
        <v>43543</v>
      </c>
    </row>
    <row r="182" spans="1:2" x14ac:dyDescent="0.2">
      <c r="A182" t="s">
        <v>9</v>
      </c>
      <c r="B182" s="46">
        <v>43542</v>
      </c>
    </row>
    <row r="183" spans="1:2" x14ac:dyDescent="0.2">
      <c r="A183" t="s">
        <v>85</v>
      </c>
      <c r="B183" s="46">
        <v>43534</v>
      </c>
    </row>
    <row r="184" spans="1:2" x14ac:dyDescent="0.2">
      <c r="A184" t="s">
        <v>95</v>
      </c>
      <c r="B184" s="46">
        <v>43527</v>
      </c>
    </row>
    <row r="185" spans="1:2" x14ac:dyDescent="0.2">
      <c r="A185" t="s">
        <v>214</v>
      </c>
      <c r="B185" s="46">
        <v>43527</v>
      </c>
    </row>
    <row r="186" spans="1:2" x14ac:dyDescent="0.2">
      <c r="A186" t="s">
        <v>199</v>
      </c>
      <c r="B186" s="46">
        <v>43526</v>
      </c>
    </row>
    <row r="187" spans="1:2" x14ac:dyDescent="0.2">
      <c r="A187" t="s">
        <v>213</v>
      </c>
      <c r="B187" s="46">
        <v>43520</v>
      </c>
    </row>
    <row r="188" spans="1:2" x14ac:dyDescent="0.2">
      <c r="A188" t="s">
        <v>363</v>
      </c>
      <c r="B188" s="46">
        <v>43514</v>
      </c>
    </row>
    <row r="189" spans="1:2" x14ac:dyDescent="0.2">
      <c r="A189" t="s">
        <v>5</v>
      </c>
      <c r="B189" s="46">
        <v>43493</v>
      </c>
    </row>
    <row r="190" spans="1:2" x14ac:dyDescent="0.2">
      <c r="A190" t="s">
        <v>195</v>
      </c>
      <c r="B190" s="46">
        <v>43493</v>
      </c>
    </row>
    <row r="191" spans="1:2" x14ac:dyDescent="0.2">
      <c r="A191" t="s">
        <v>185</v>
      </c>
      <c r="B191" s="46">
        <v>43488</v>
      </c>
    </row>
    <row r="192" spans="1:2" x14ac:dyDescent="0.2">
      <c r="A192" t="s">
        <v>323</v>
      </c>
      <c r="B192" s="46">
        <v>43485</v>
      </c>
    </row>
    <row r="193" spans="1:2" x14ac:dyDescent="0.2">
      <c r="A193" t="s">
        <v>378</v>
      </c>
      <c r="B193" s="46">
        <v>43485</v>
      </c>
    </row>
    <row r="194" spans="1:2" x14ac:dyDescent="0.2">
      <c r="A194" t="s">
        <v>159</v>
      </c>
      <c r="B194" s="46">
        <v>43484</v>
      </c>
    </row>
    <row r="195" spans="1:2" x14ac:dyDescent="0.2">
      <c r="A195" t="s">
        <v>212</v>
      </c>
      <c r="B195" s="46">
        <v>43480</v>
      </c>
    </row>
    <row r="196" spans="1:2" x14ac:dyDescent="0.2">
      <c r="A196" t="s">
        <v>349</v>
      </c>
      <c r="B196" s="46">
        <v>43480</v>
      </c>
    </row>
    <row r="197" spans="1:2" x14ac:dyDescent="0.2">
      <c r="A197" t="s">
        <v>97</v>
      </c>
      <c r="B197" s="46">
        <v>43479</v>
      </c>
    </row>
    <row r="198" spans="1:2" x14ac:dyDescent="0.2">
      <c r="A198" t="s">
        <v>211</v>
      </c>
      <c r="B198" s="46">
        <v>43479</v>
      </c>
    </row>
    <row r="199" spans="1:2" x14ac:dyDescent="0.2">
      <c r="A199" t="s">
        <v>324</v>
      </c>
      <c r="B199" s="46">
        <v>43479</v>
      </c>
    </row>
    <row r="200" spans="1:2" x14ac:dyDescent="0.2">
      <c r="A200" t="s">
        <v>210</v>
      </c>
      <c r="B200" s="46">
        <v>43478</v>
      </c>
    </row>
    <row r="201" spans="1:2" x14ac:dyDescent="0.2">
      <c r="A201" t="s">
        <v>369</v>
      </c>
      <c r="B201" s="46">
        <v>43477</v>
      </c>
    </row>
    <row r="202" spans="1:2" x14ac:dyDescent="0.2">
      <c r="A202" t="s">
        <v>364</v>
      </c>
      <c r="B202" s="46">
        <v>43471</v>
      </c>
    </row>
    <row r="203" spans="1:2" x14ac:dyDescent="0.2">
      <c r="A203" t="s">
        <v>365</v>
      </c>
      <c r="B203" s="46">
        <v>43469</v>
      </c>
    </row>
    <row r="204" spans="1:2" x14ac:dyDescent="0.2">
      <c r="A204" t="s">
        <v>35</v>
      </c>
      <c r="B204" s="46">
        <v>43468</v>
      </c>
    </row>
    <row r="205" spans="1:2" x14ac:dyDescent="0.2">
      <c r="A205" t="s">
        <v>228</v>
      </c>
      <c r="B205" s="46">
        <v>43468</v>
      </c>
    </row>
    <row r="206" spans="1:2" x14ac:dyDescent="0.2">
      <c r="A206" t="s">
        <v>229</v>
      </c>
      <c r="B206" s="46">
        <v>43468</v>
      </c>
    </row>
    <row r="207" spans="1:2" x14ac:dyDescent="0.2">
      <c r="A207" t="s">
        <v>346</v>
      </c>
      <c r="B207" s="46">
        <v>43468</v>
      </c>
    </row>
    <row r="208" spans="1:2" x14ac:dyDescent="0.2">
      <c r="A208" t="s">
        <v>359</v>
      </c>
      <c r="B208" s="46">
        <v>43468</v>
      </c>
    </row>
    <row r="209" spans="1:2" x14ac:dyDescent="0.2">
      <c r="A209" t="s">
        <v>42</v>
      </c>
      <c r="B209" s="46">
        <v>43467</v>
      </c>
    </row>
    <row r="210" spans="1:2" x14ac:dyDescent="0.2">
      <c r="A210" t="s">
        <v>207</v>
      </c>
      <c r="B210" s="46">
        <v>43467</v>
      </c>
    </row>
    <row r="211" spans="1:2" x14ac:dyDescent="0.2">
      <c r="A211" t="s">
        <v>227</v>
      </c>
      <c r="B211" s="46">
        <v>43467</v>
      </c>
    </row>
    <row r="212" spans="1:2" x14ac:dyDescent="0.2">
      <c r="A212" t="s">
        <v>255</v>
      </c>
      <c r="B212" s="46">
        <v>43467</v>
      </c>
    </row>
    <row r="213" spans="1:2" x14ac:dyDescent="0.2">
      <c r="A213" t="s">
        <v>261</v>
      </c>
      <c r="B213" s="46">
        <v>43467</v>
      </c>
    </row>
    <row r="214" spans="1:2" x14ac:dyDescent="0.2">
      <c r="A214" t="s">
        <v>340</v>
      </c>
      <c r="B214" s="46">
        <v>43467</v>
      </c>
    </row>
    <row r="215" spans="1:2" x14ac:dyDescent="0.2">
      <c r="A215" t="s">
        <v>354</v>
      </c>
      <c r="B215" s="46">
        <v>43467</v>
      </c>
    </row>
    <row r="216" spans="1:2" x14ac:dyDescent="0.2">
      <c r="A216" t="s">
        <v>371</v>
      </c>
      <c r="B216" s="46">
        <v>43467</v>
      </c>
    </row>
    <row r="217" spans="1:2" x14ac:dyDescent="0.2">
      <c r="A217" t="s">
        <v>4</v>
      </c>
      <c r="B217" s="46">
        <v>43466</v>
      </c>
    </row>
    <row r="218" spans="1:2" x14ac:dyDescent="0.2">
      <c r="A218" t="s">
        <v>17</v>
      </c>
      <c r="B218" s="46">
        <v>43466</v>
      </c>
    </row>
    <row r="219" spans="1:2" x14ac:dyDescent="0.2">
      <c r="A219" t="s">
        <v>20</v>
      </c>
      <c r="B219" s="46">
        <v>43466</v>
      </c>
    </row>
    <row r="220" spans="1:2" x14ac:dyDescent="0.2">
      <c r="A220" t="s">
        <v>22</v>
      </c>
      <c r="B220" s="46">
        <v>43466</v>
      </c>
    </row>
    <row r="221" spans="1:2" x14ac:dyDescent="0.2">
      <c r="A221" t="s">
        <v>36</v>
      </c>
      <c r="B221" s="46">
        <v>43466</v>
      </c>
    </row>
    <row r="222" spans="1:2" x14ac:dyDescent="0.2">
      <c r="A222" t="s">
        <v>38</v>
      </c>
      <c r="B222" s="46">
        <v>43466</v>
      </c>
    </row>
    <row r="223" spans="1:2" x14ac:dyDescent="0.2">
      <c r="A223" t="s">
        <v>39</v>
      </c>
      <c r="B223" s="46">
        <v>43466</v>
      </c>
    </row>
    <row r="224" spans="1:2" x14ac:dyDescent="0.2">
      <c r="A224" t="s">
        <v>45</v>
      </c>
      <c r="B224" s="46">
        <v>43466</v>
      </c>
    </row>
    <row r="225" spans="1:2" x14ac:dyDescent="0.2">
      <c r="A225" t="s">
        <v>46</v>
      </c>
      <c r="B225" s="46">
        <v>43466</v>
      </c>
    </row>
    <row r="226" spans="1:2" x14ac:dyDescent="0.2">
      <c r="A226" t="s">
        <v>47</v>
      </c>
      <c r="B226" s="46">
        <v>43466</v>
      </c>
    </row>
    <row r="227" spans="1:2" x14ac:dyDescent="0.2">
      <c r="A227" t="s">
        <v>48</v>
      </c>
      <c r="B227" s="46">
        <v>43466</v>
      </c>
    </row>
    <row r="228" spans="1:2" x14ac:dyDescent="0.2">
      <c r="A228" t="s">
        <v>49</v>
      </c>
      <c r="B228" s="46">
        <v>43466</v>
      </c>
    </row>
    <row r="229" spans="1:2" x14ac:dyDescent="0.2">
      <c r="A229" t="s">
        <v>50</v>
      </c>
      <c r="B229" s="46">
        <v>43466</v>
      </c>
    </row>
    <row r="230" spans="1:2" x14ac:dyDescent="0.2">
      <c r="A230" t="s">
        <v>63</v>
      </c>
      <c r="B230" s="46">
        <v>43466</v>
      </c>
    </row>
    <row r="231" spans="1:2" x14ac:dyDescent="0.2">
      <c r="A231" t="s">
        <v>76</v>
      </c>
      <c r="B231" s="46">
        <v>43466</v>
      </c>
    </row>
    <row r="232" spans="1:2" x14ac:dyDescent="0.2">
      <c r="A232" t="s">
        <v>83</v>
      </c>
      <c r="B232" s="46">
        <v>43466</v>
      </c>
    </row>
    <row r="233" spans="1:2" x14ac:dyDescent="0.2">
      <c r="A233" t="s">
        <v>84</v>
      </c>
      <c r="B233" s="46">
        <v>43466</v>
      </c>
    </row>
    <row r="234" spans="1:2" x14ac:dyDescent="0.2">
      <c r="A234" t="s">
        <v>91</v>
      </c>
      <c r="B234" s="46">
        <v>43466</v>
      </c>
    </row>
    <row r="235" spans="1:2" x14ac:dyDescent="0.2">
      <c r="A235" t="s">
        <v>190</v>
      </c>
      <c r="B235" s="46">
        <v>43466</v>
      </c>
    </row>
    <row r="236" spans="1:2" x14ac:dyDescent="0.2">
      <c r="A236" t="s">
        <v>192</v>
      </c>
      <c r="B236" s="46">
        <v>43466</v>
      </c>
    </row>
    <row r="237" spans="1:2" x14ac:dyDescent="0.2">
      <c r="A237" t="s">
        <v>196</v>
      </c>
      <c r="B237" s="46">
        <v>43466</v>
      </c>
    </row>
    <row r="238" spans="1:2" x14ac:dyDescent="0.2">
      <c r="A238" t="s">
        <v>197</v>
      </c>
      <c r="B238" s="46">
        <v>43466</v>
      </c>
    </row>
    <row r="239" spans="1:2" x14ac:dyDescent="0.2">
      <c r="A239" t="s">
        <v>198</v>
      </c>
      <c r="B239" s="46">
        <v>43466</v>
      </c>
    </row>
    <row r="240" spans="1:2" x14ac:dyDescent="0.2">
      <c r="A240" t="s">
        <v>200</v>
      </c>
      <c r="B240" s="46">
        <v>43466</v>
      </c>
    </row>
    <row r="241" spans="1:2" x14ac:dyDescent="0.2">
      <c r="A241" t="s">
        <v>205</v>
      </c>
      <c r="B241" s="46">
        <v>43466</v>
      </c>
    </row>
    <row r="242" spans="1:2" x14ac:dyDescent="0.2">
      <c r="A242" t="s">
        <v>208</v>
      </c>
      <c r="B242" s="46">
        <v>43466</v>
      </c>
    </row>
    <row r="243" spans="1:2" x14ac:dyDescent="0.2">
      <c r="A243" t="s">
        <v>215</v>
      </c>
      <c r="B243" s="46">
        <v>43466</v>
      </c>
    </row>
    <row r="244" spans="1:2" x14ac:dyDescent="0.2">
      <c r="A244" t="s">
        <v>224</v>
      </c>
      <c r="B244" s="46">
        <v>43466</v>
      </c>
    </row>
    <row r="245" spans="1:2" x14ac:dyDescent="0.2">
      <c r="A245" t="s">
        <v>225</v>
      </c>
      <c r="B245" s="46">
        <v>43466</v>
      </c>
    </row>
    <row r="246" spans="1:2" x14ac:dyDescent="0.2">
      <c r="A246" t="s">
        <v>226</v>
      </c>
      <c r="B246" s="46">
        <v>43466</v>
      </c>
    </row>
    <row r="247" spans="1:2" x14ac:dyDescent="0.2">
      <c r="A247" t="s">
        <v>256</v>
      </c>
      <c r="B247" s="46">
        <v>43466</v>
      </c>
    </row>
    <row r="248" spans="1:2" x14ac:dyDescent="0.2">
      <c r="A248" t="s">
        <v>279</v>
      </c>
      <c r="B248" s="46">
        <v>43466</v>
      </c>
    </row>
    <row r="249" spans="1:2" x14ac:dyDescent="0.2">
      <c r="A249" t="s">
        <v>283</v>
      </c>
      <c r="B249" s="46">
        <v>43466</v>
      </c>
    </row>
    <row r="250" spans="1:2" x14ac:dyDescent="0.2">
      <c r="A250" t="s">
        <v>306</v>
      </c>
      <c r="B250" s="46">
        <v>43466</v>
      </c>
    </row>
    <row r="251" spans="1:2" x14ac:dyDescent="0.2">
      <c r="A251" t="s">
        <v>317</v>
      </c>
      <c r="B251" s="46">
        <v>43466</v>
      </c>
    </row>
    <row r="252" spans="1:2" x14ac:dyDescent="0.2">
      <c r="A252" t="s">
        <v>331</v>
      </c>
      <c r="B252" s="46">
        <v>43466</v>
      </c>
    </row>
    <row r="253" spans="1:2" x14ac:dyDescent="0.2">
      <c r="A253" t="s">
        <v>332</v>
      </c>
      <c r="B253" s="46">
        <v>43466</v>
      </c>
    </row>
    <row r="254" spans="1:2" x14ac:dyDescent="0.2">
      <c r="A254" t="s">
        <v>329</v>
      </c>
      <c r="B254" s="46">
        <v>43466</v>
      </c>
    </row>
    <row r="255" spans="1:2" x14ac:dyDescent="0.2">
      <c r="A255" t="s">
        <v>328</v>
      </c>
      <c r="B255" s="46">
        <v>43466</v>
      </c>
    </row>
    <row r="256" spans="1:2" x14ac:dyDescent="0.2">
      <c r="A256" t="s">
        <v>326</v>
      </c>
      <c r="B256" s="46">
        <v>43466</v>
      </c>
    </row>
    <row r="257" spans="1:2" x14ac:dyDescent="0.2">
      <c r="A257" t="s">
        <v>327</v>
      </c>
      <c r="B257" s="46">
        <v>43466</v>
      </c>
    </row>
    <row r="258" spans="1:2" x14ac:dyDescent="0.2">
      <c r="A258" t="s">
        <v>334</v>
      </c>
      <c r="B258" s="46">
        <v>43466</v>
      </c>
    </row>
    <row r="259" spans="1:2" x14ac:dyDescent="0.2">
      <c r="A259" t="s">
        <v>341</v>
      </c>
      <c r="B259" s="46">
        <v>43466</v>
      </c>
    </row>
    <row r="260" spans="1:2" x14ac:dyDescent="0.2">
      <c r="A260" t="s">
        <v>342</v>
      </c>
      <c r="B260" s="46">
        <v>43466</v>
      </c>
    </row>
    <row r="261" spans="1:2" x14ac:dyDescent="0.2">
      <c r="A261" t="s">
        <v>343</v>
      </c>
      <c r="B261" s="46">
        <v>43466</v>
      </c>
    </row>
    <row r="262" spans="1:2" x14ac:dyDescent="0.2">
      <c r="A262" t="s">
        <v>344</v>
      </c>
      <c r="B262" s="46">
        <v>43466</v>
      </c>
    </row>
    <row r="263" spans="1:2" x14ac:dyDescent="0.2">
      <c r="A263" t="s">
        <v>345</v>
      </c>
      <c r="B263" s="46">
        <v>43466</v>
      </c>
    </row>
    <row r="264" spans="1:2" x14ac:dyDescent="0.2">
      <c r="A264" t="s">
        <v>347</v>
      </c>
      <c r="B264" s="46">
        <v>43466</v>
      </c>
    </row>
    <row r="265" spans="1:2" x14ac:dyDescent="0.2">
      <c r="A265" t="s">
        <v>348</v>
      </c>
      <c r="B265" s="46">
        <v>43466</v>
      </c>
    </row>
    <row r="266" spans="1:2" x14ac:dyDescent="0.2">
      <c r="A266" t="s">
        <v>351</v>
      </c>
      <c r="B266" s="46">
        <v>43466</v>
      </c>
    </row>
    <row r="267" spans="1:2" x14ac:dyDescent="0.2">
      <c r="A267" t="s">
        <v>352</v>
      </c>
      <c r="B267" s="46">
        <v>43466</v>
      </c>
    </row>
    <row r="268" spans="1:2" x14ac:dyDescent="0.2">
      <c r="A268" t="s">
        <v>353</v>
      </c>
      <c r="B268" s="46">
        <v>43466</v>
      </c>
    </row>
    <row r="269" spans="1:2" x14ac:dyDescent="0.2">
      <c r="A269" t="s">
        <v>356</v>
      </c>
      <c r="B269" s="46">
        <v>43466</v>
      </c>
    </row>
    <row r="270" spans="1:2" x14ac:dyDescent="0.2">
      <c r="A270" t="s">
        <v>357</v>
      </c>
      <c r="B270" s="46">
        <v>43466</v>
      </c>
    </row>
    <row r="271" spans="1:2" x14ac:dyDescent="0.2">
      <c r="A271" t="s">
        <v>358</v>
      </c>
      <c r="B271" s="46">
        <v>43466</v>
      </c>
    </row>
    <row r="272" spans="1:2" x14ac:dyDescent="0.2">
      <c r="A272" t="s">
        <v>360</v>
      </c>
      <c r="B272" s="46">
        <v>43466</v>
      </c>
    </row>
    <row r="273" spans="1:2" x14ac:dyDescent="0.2">
      <c r="A273" t="s">
        <v>361</v>
      </c>
      <c r="B273" s="46">
        <v>43466</v>
      </c>
    </row>
    <row r="274" spans="1:2" x14ac:dyDescent="0.2">
      <c r="A274" t="s">
        <v>362</v>
      </c>
      <c r="B274" s="46">
        <v>43466</v>
      </c>
    </row>
    <row r="275" spans="1:2" x14ac:dyDescent="0.2">
      <c r="A275" t="s">
        <v>367</v>
      </c>
      <c r="B275" s="46">
        <v>43466</v>
      </c>
    </row>
    <row r="276" spans="1:2" x14ac:dyDescent="0.2">
      <c r="A276" t="s">
        <v>368</v>
      </c>
      <c r="B276" s="46">
        <v>43466</v>
      </c>
    </row>
    <row r="277" spans="1:2" x14ac:dyDescent="0.2">
      <c r="A277" t="s">
        <v>373</v>
      </c>
      <c r="B277" s="46">
        <v>43466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0647-4CBD-4E89-BDF3-F9EC57B1D2D2}">
  <dimension ref="A1:DO388"/>
  <sheetViews>
    <sheetView workbookViewId="0">
      <selection activeCell="N1" sqref="N1"/>
    </sheetView>
  </sheetViews>
  <sheetFormatPr defaultRowHeight="12.75" x14ac:dyDescent="0.2"/>
  <cols>
    <col min="1" max="1" width="17.140625" customWidth="1"/>
    <col min="2" max="2" width="6.7109375" customWidth="1"/>
    <col min="3" max="3" width="6.140625" customWidth="1"/>
    <col min="4" max="4" width="7.28515625" customWidth="1"/>
    <col min="5" max="119" width="1.140625" customWidth="1"/>
  </cols>
  <sheetData>
    <row r="1" spans="1:119" s="42" customFormat="1" ht="30" customHeight="1" x14ac:dyDescent="0.2">
      <c r="B1" s="43"/>
      <c r="C1" s="43"/>
      <c r="D1" s="43"/>
      <c r="E1" s="41">
        <v>44612</v>
      </c>
      <c r="F1" s="41">
        <f>E1+1</f>
        <v>44613</v>
      </c>
      <c r="G1" s="41">
        <f t="shared" ref="G1:BE1" si="0">F1+1</f>
        <v>44614</v>
      </c>
      <c r="H1" s="41">
        <f t="shared" si="0"/>
        <v>44615</v>
      </c>
      <c r="I1" s="41">
        <f t="shared" si="0"/>
        <v>44616</v>
      </c>
      <c r="J1" s="41">
        <f t="shared" si="0"/>
        <v>44617</v>
      </c>
      <c r="K1" s="41">
        <f t="shared" si="0"/>
        <v>44618</v>
      </c>
      <c r="L1" s="41">
        <f t="shared" si="0"/>
        <v>44619</v>
      </c>
      <c r="M1" s="41">
        <f t="shared" si="0"/>
        <v>44620</v>
      </c>
      <c r="N1" s="41">
        <f t="shared" si="0"/>
        <v>44621</v>
      </c>
      <c r="O1" s="41">
        <f t="shared" si="0"/>
        <v>44622</v>
      </c>
      <c r="P1" s="41">
        <f t="shared" si="0"/>
        <v>44623</v>
      </c>
      <c r="Q1" s="41">
        <f t="shared" si="0"/>
        <v>44624</v>
      </c>
      <c r="R1" s="41">
        <f t="shared" si="0"/>
        <v>44625</v>
      </c>
      <c r="S1" s="41">
        <f t="shared" si="0"/>
        <v>44626</v>
      </c>
      <c r="T1" s="41">
        <f t="shared" si="0"/>
        <v>44627</v>
      </c>
      <c r="U1" s="41">
        <f t="shared" si="0"/>
        <v>44628</v>
      </c>
      <c r="V1" s="41">
        <f t="shared" si="0"/>
        <v>44629</v>
      </c>
      <c r="W1" s="41">
        <f t="shared" si="0"/>
        <v>44630</v>
      </c>
      <c r="X1" s="41">
        <f t="shared" si="0"/>
        <v>44631</v>
      </c>
      <c r="Y1" s="41">
        <f t="shared" si="0"/>
        <v>44632</v>
      </c>
      <c r="Z1" s="41">
        <f t="shared" si="0"/>
        <v>44633</v>
      </c>
      <c r="AA1" s="41">
        <f t="shared" si="0"/>
        <v>44634</v>
      </c>
      <c r="AB1" s="41">
        <f t="shared" si="0"/>
        <v>44635</v>
      </c>
      <c r="AC1" s="41">
        <f t="shared" si="0"/>
        <v>44636</v>
      </c>
      <c r="AD1" s="41">
        <f t="shared" si="0"/>
        <v>44637</v>
      </c>
      <c r="AE1" s="41">
        <f t="shared" si="0"/>
        <v>44638</v>
      </c>
      <c r="AF1" s="41">
        <f t="shared" si="0"/>
        <v>44639</v>
      </c>
      <c r="AG1" s="41">
        <f t="shared" si="0"/>
        <v>44640</v>
      </c>
      <c r="AH1" s="41">
        <f t="shared" si="0"/>
        <v>44641</v>
      </c>
      <c r="AI1" s="41">
        <f t="shared" si="0"/>
        <v>44642</v>
      </c>
      <c r="AJ1" s="41">
        <f t="shared" si="0"/>
        <v>44643</v>
      </c>
      <c r="AK1" s="41">
        <f t="shared" si="0"/>
        <v>44644</v>
      </c>
      <c r="AL1" s="41">
        <f t="shared" si="0"/>
        <v>44645</v>
      </c>
      <c r="AM1" s="41">
        <f t="shared" si="0"/>
        <v>44646</v>
      </c>
      <c r="AN1" s="41">
        <f t="shared" si="0"/>
        <v>44647</v>
      </c>
      <c r="AO1" s="41">
        <f t="shared" si="0"/>
        <v>44648</v>
      </c>
      <c r="AP1" s="41">
        <f t="shared" si="0"/>
        <v>44649</v>
      </c>
      <c r="AQ1" s="41">
        <f t="shared" si="0"/>
        <v>44650</v>
      </c>
      <c r="AR1" s="41">
        <f t="shared" si="0"/>
        <v>44651</v>
      </c>
      <c r="AS1" s="41">
        <f t="shared" si="0"/>
        <v>44652</v>
      </c>
      <c r="AT1" s="41">
        <f t="shared" si="0"/>
        <v>44653</v>
      </c>
      <c r="AU1" s="41">
        <f t="shared" si="0"/>
        <v>44654</v>
      </c>
      <c r="AV1" s="41">
        <f t="shared" si="0"/>
        <v>44655</v>
      </c>
      <c r="AW1" s="41">
        <f t="shared" si="0"/>
        <v>44656</v>
      </c>
      <c r="AX1" s="41">
        <f t="shared" si="0"/>
        <v>44657</v>
      </c>
      <c r="AY1" s="41">
        <f t="shared" si="0"/>
        <v>44658</v>
      </c>
      <c r="AZ1" s="41">
        <f t="shared" si="0"/>
        <v>44659</v>
      </c>
      <c r="BA1" s="41">
        <f t="shared" si="0"/>
        <v>44660</v>
      </c>
      <c r="BB1" s="41">
        <f t="shared" si="0"/>
        <v>44661</v>
      </c>
      <c r="BC1" s="41">
        <f t="shared" si="0"/>
        <v>44662</v>
      </c>
      <c r="BD1" s="41">
        <f t="shared" si="0"/>
        <v>44663</v>
      </c>
      <c r="BE1" s="41">
        <f t="shared" si="0"/>
        <v>44664</v>
      </c>
      <c r="BF1" s="41">
        <f>BE1+1</f>
        <v>44665</v>
      </c>
      <c r="BG1" s="41">
        <f t="shared" ref="BG1:DO1" si="1">BF1+1</f>
        <v>44666</v>
      </c>
      <c r="BH1" s="41">
        <f t="shared" si="1"/>
        <v>44667</v>
      </c>
      <c r="BI1" s="41">
        <f t="shared" si="1"/>
        <v>44668</v>
      </c>
      <c r="BJ1" s="41">
        <f t="shared" si="1"/>
        <v>44669</v>
      </c>
      <c r="BK1" s="41">
        <f t="shared" si="1"/>
        <v>44670</v>
      </c>
      <c r="BL1" s="41">
        <f t="shared" si="1"/>
        <v>44671</v>
      </c>
      <c r="BM1" s="41">
        <f t="shared" si="1"/>
        <v>44672</v>
      </c>
      <c r="BN1" s="41">
        <f t="shared" si="1"/>
        <v>44673</v>
      </c>
      <c r="BO1" s="41">
        <f t="shared" si="1"/>
        <v>44674</v>
      </c>
      <c r="BP1" s="41">
        <f t="shared" si="1"/>
        <v>44675</v>
      </c>
      <c r="BQ1" s="41">
        <f t="shared" si="1"/>
        <v>44676</v>
      </c>
      <c r="BR1" s="41">
        <f t="shared" si="1"/>
        <v>44677</v>
      </c>
      <c r="BS1" s="41">
        <f t="shared" si="1"/>
        <v>44678</v>
      </c>
      <c r="BT1" s="41">
        <f t="shared" si="1"/>
        <v>44679</v>
      </c>
      <c r="BU1" s="41">
        <f t="shared" si="1"/>
        <v>44680</v>
      </c>
      <c r="BV1" s="41">
        <f t="shared" si="1"/>
        <v>44681</v>
      </c>
      <c r="BW1" s="41">
        <f t="shared" si="1"/>
        <v>44682</v>
      </c>
      <c r="BX1" s="41">
        <f t="shared" si="1"/>
        <v>44683</v>
      </c>
      <c r="BY1" s="41">
        <f t="shared" si="1"/>
        <v>44684</v>
      </c>
      <c r="BZ1" s="41">
        <f t="shared" si="1"/>
        <v>44685</v>
      </c>
      <c r="CA1" s="41">
        <f t="shared" si="1"/>
        <v>44686</v>
      </c>
      <c r="CB1" s="41">
        <f t="shared" si="1"/>
        <v>44687</v>
      </c>
      <c r="CC1" s="41">
        <f t="shared" si="1"/>
        <v>44688</v>
      </c>
      <c r="CD1" s="41">
        <f t="shared" si="1"/>
        <v>44689</v>
      </c>
      <c r="CE1" s="41">
        <f t="shared" si="1"/>
        <v>44690</v>
      </c>
      <c r="CF1" s="41">
        <f t="shared" si="1"/>
        <v>44691</v>
      </c>
      <c r="CG1" s="41">
        <f t="shared" si="1"/>
        <v>44692</v>
      </c>
      <c r="CH1" s="41">
        <f t="shared" si="1"/>
        <v>44693</v>
      </c>
      <c r="CI1" s="41">
        <f t="shared" si="1"/>
        <v>44694</v>
      </c>
      <c r="CJ1" s="41">
        <f t="shared" si="1"/>
        <v>44695</v>
      </c>
      <c r="CK1" s="41">
        <f t="shared" si="1"/>
        <v>44696</v>
      </c>
      <c r="CL1" s="41">
        <f t="shared" si="1"/>
        <v>44697</v>
      </c>
      <c r="CM1" s="41">
        <f t="shared" si="1"/>
        <v>44698</v>
      </c>
      <c r="CN1" s="41">
        <f t="shared" si="1"/>
        <v>44699</v>
      </c>
      <c r="CO1" s="41">
        <f t="shared" si="1"/>
        <v>44700</v>
      </c>
      <c r="CP1" s="41">
        <f t="shared" si="1"/>
        <v>44701</v>
      </c>
      <c r="CQ1" s="41">
        <f t="shared" si="1"/>
        <v>44702</v>
      </c>
      <c r="CR1" s="41">
        <f t="shared" si="1"/>
        <v>44703</v>
      </c>
      <c r="CS1" s="41">
        <f t="shared" si="1"/>
        <v>44704</v>
      </c>
      <c r="CT1" s="41">
        <f t="shared" si="1"/>
        <v>44705</v>
      </c>
      <c r="CU1" s="41">
        <f t="shared" si="1"/>
        <v>44706</v>
      </c>
      <c r="CV1" s="41">
        <f t="shared" si="1"/>
        <v>44707</v>
      </c>
      <c r="CW1" s="41">
        <f t="shared" si="1"/>
        <v>44708</v>
      </c>
      <c r="CX1" s="41">
        <f t="shared" si="1"/>
        <v>44709</v>
      </c>
      <c r="CY1" s="41">
        <f t="shared" si="1"/>
        <v>44710</v>
      </c>
      <c r="CZ1" s="41">
        <f t="shared" si="1"/>
        <v>44711</v>
      </c>
      <c r="DA1" s="41">
        <f t="shared" si="1"/>
        <v>44712</v>
      </c>
      <c r="DB1" s="41">
        <f t="shared" si="1"/>
        <v>44713</v>
      </c>
      <c r="DC1" s="41">
        <f t="shared" si="1"/>
        <v>44714</v>
      </c>
      <c r="DD1" s="41">
        <f t="shared" si="1"/>
        <v>44715</v>
      </c>
      <c r="DE1" s="41">
        <f t="shared" si="1"/>
        <v>44716</v>
      </c>
      <c r="DF1" s="41">
        <f t="shared" si="1"/>
        <v>44717</v>
      </c>
      <c r="DG1" s="41">
        <f t="shared" si="1"/>
        <v>44718</v>
      </c>
      <c r="DH1" s="41">
        <f t="shared" si="1"/>
        <v>44719</v>
      </c>
      <c r="DI1" s="41">
        <f t="shared" si="1"/>
        <v>44720</v>
      </c>
      <c r="DJ1" s="41">
        <f t="shared" si="1"/>
        <v>44721</v>
      </c>
      <c r="DK1" s="41">
        <f t="shared" si="1"/>
        <v>44722</v>
      </c>
      <c r="DL1" s="41">
        <f t="shared" si="1"/>
        <v>44723</v>
      </c>
      <c r="DM1" s="41">
        <f t="shared" si="1"/>
        <v>44724</v>
      </c>
      <c r="DN1" s="41">
        <f t="shared" si="1"/>
        <v>44725</v>
      </c>
      <c r="DO1" s="41">
        <f t="shared" si="1"/>
        <v>44726</v>
      </c>
    </row>
    <row r="2" spans="1:119" ht="15" x14ac:dyDescent="0.25">
      <c r="A2" t="s">
        <v>2</v>
      </c>
      <c r="B2" s="36">
        <v>43521</v>
      </c>
      <c r="C2" s="36">
        <v>43545.5</v>
      </c>
      <c r="D2" s="36">
        <v>43584</v>
      </c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9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</row>
    <row r="3" spans="1:119" ht="15" x14ac:dyDescent="0.25">
      <c r="A3" t="s">
        <v>3</v>
      </c>
      <c r="B3" s="36">
        <v>43537</v>
      </c>
      <c r="C3" s="36">
        <v>43565.5</v>
      </c>
      <c r="D3" s="36">
        <v>43577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9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</row>
    <row r="4" spans="1:119" ht="15" x14ac:dyDescent="0.25">
      <c r="A4" t="s">
        <v>4</v>
      </c>
      <c r="B4" s="36">
        <v>43499</v>
      </c>
      <c r="C4" s="36">
        <v>43532</v>
      </c>
      <c r="D4" s="36">
        <v>43548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</row>
    <row r="5" spans="1:119" ht="15" x14ac:dyDescent="0.25">
      <c r="A5" t="s">
        <v>5</v>
      </c>
      <c r="B5" s="36">
        <v>43526</v>
      </c>
      <c r="C5" s="36">
        <v>43552</v>
      </c>
      <c r="D5" s="36">
        <v>43564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9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</row>
    <row r="6" spans="1:119" ht="15" x14ac:dyDescent="0.25">
      <c r="A6" t="s">
        <v>6</v>
      </c>
      <c r="B6" s="36">
        <v>43538</v>
      </c>
      <c r="C6" s="36">
        <v>43563.5</v>
      </c>
      <c r="D6" s="36">
        <v>43572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9"/>
      <c r="BA6" s="38"/>
      <c r="BB6" s="38"/>
      <c r="BC6" s="38"/>
      <c r="BD6" s="38"/>
      <c r="BE6" s="38"/>
      <c r="BF6" s="38"/>
      <c r="BG6" s="38"/>
      <c r="BH6" s="38"/>
      <c r="BI6" s="38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</row>
    <row r="7" spans="1:119" ht="15" x14ac:dyDescent="0.25">
      <c r="A7" t="s">
        <v>7</v>
      </c>
      <c r="B7" s="36">
        <v>43540</v>
      </c>
      <c r="C7" s="36">
        <v>43564.5</v>
      </c>
      <c r="D7" s="36">
        <v>43573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9"/>
      <c r="BB7" s="38"/>
      <c r="BC7" s="38"/>
      <c r="BD7" s="38"/>
      <c r="BE7" s="38"/>
      <c r="BF7" s="38"/>
      <c r="BG7" s="38"/>
      <c r="BH7" s="38"/>
      <c r="BI7" s="38"/>
      <c r="BJ7" s="38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</row>
    <row r="8" spans="1:119" ht="15" x14ac:dyDescent="0.25">
      <c r="A8" t="s">
        <v>8</v>
      </c>
      <c r="B8" s="36">
        <v>43575</v>
      </c>
      <c r="C8" s="36">
        <v>43585</v>
      </c>
      <c r="D8" s="36">
        <v>43594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9"/>
      <c r="BW8" s="38"/>
      <c r="BX8" s="38"/>
      <c r="BY8" s="38"/>
      <c r="BZ8" s="38"/>
      <c r="CA8" s="38"/>
      <c r="CB8" s="38"/>
      <c r="CC8" s="38"/>
      <c r="CD8" s="38"/>
      <c r="CE8" s="38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</row>
    <row r="9" spans="1:119" ht="15" x14ac:dyDescent="0.25">
      <c r="A9" t="s">
        <v>9</v>
      </c>
      <c r="B9" s="36">
        <v>43508</v>
      </c>
      <c r="C9" s="36">
        <v>43545</v>
      </c>
      <c r="D9" s="36">
        <v>43562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</row>
    <row r="10" spans="1:119" ht="15" x14ac:dyDescent="0.25">
      <c r="A10" s="40"/>
      <c r="B10" s="36">
        <v>43554</v>
      </c>
      <c r="C10" s="36">
        <v>43573</v>
      </c>
      <c r="D10" s="36">
        <v>43580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 t="s">
        <v>26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9"/>
      <c r="BK10" s="38"/>
      <c r="BL10" s="38"/>
      <c r="BM10" s="38"/>
      <c r="BN10" s="38"/>
      <c r="BO10" s="38"/>
      <c r="BP10" s="38"/>
      <c r="BQ10" s="38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</row>
    <row r="11" spans="1:119" ht="15" x14ac:dyDescent="0.25">
      <c r="A11" s="40"/>
      <c r="B11" s="36">
        <v>43612</v>
      </c>
      <c r="C11" s="36">
        <v>43627</v>
      </c>
      <c r="D11" s="36">
        <v>43648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 t="s">
        <v>308</v>
      </c>
      <c r="CT11" s="37"/>
      <c r="CU11" s="37"/>
      <c r="CV11" s="37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9"/>
      <c r="DM11" s="38"/>
      <c r="DN11" s="38"/>
      <c r="DO11" s="38"/>
    </row>
    <row r="12" spans="1:119" x14ac:dyDescent="0.2">
      <c r="A12" t="s">
        <v>10</v>
      </c>
      <c r="B12" s="36">
        <v>43534</v>
      </c>
      <c r="C12" s="36">
        <v>43555</v>
      </c>
      <c r="D12" s="36">
        <v>43576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</row>
    <row r="13" spans="1:119" x14ac:dyDescent="0.2">
      <c r="A13" t="s">
        <v>384</v>
      </c>
      <c r="B13" s="36">
        <v>43571</v>
      </c>
      <c r="C13" s="36">
        <v>43571</v>
      </c>
      <c r="D13" s="36">
        <v>43571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</row>
    <row r="14" spans="1:119" x14ac:dyDescent="0.2">
      <c r="A14" t="s">
        <v>11</v>
      </c>
      <c r="B14" s="36">
        <v>43553</v>
      </c>
      <c r="C14" s="36">
        <v>43572.5</v>
      </c>
      <c r="D14" s="36">
        <v>43582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</row>
    <row r="15" spans="1:119" x14ac:dyDescent="0.2">
      <c r="A15" t="s">
        <v>12</v>
      </c>
      <c r="B15" s="36">
        <v>43567</v>
      </c>
      <c r="C15" s="36">
        <v>43605.5</v>
      </c>
      <c r="D15" s="36">
        <v>43677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</row>
    <row r="16" spans="1:119" x14ac:dyDescent="0.2">
      <c r="A16" t="s">
        <v>13</v>
      </c>
      <c r="B16" s="36">
        <v>43568</v>
      </c>
      <c r="C16" s="36">
        <v>43661.5</v>
      </c>
      <c r="D16" s="36">
        <v>43755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</row>
    <row r="17" spans="1:119" x14ac:dyDescent="0.2">
      <c r="A17" t="s">
        <v>14</v>
      </c>
      <c r="B17" s="36">
        <v>43588</v>
      </c>
      <c r="C17" s="36">
        <v>43638.5</v>
      </c>
      <c r="D17" s="36">
        <v>43814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</row>
    <row r="18" spans="1:119" x14ac:dyDescent="0.2">
      <c r="A18" t="s">
        <v>15</v>
      </c>
      <c r="B18" s="36">
        <v>43535</v>
      </c>
      <c r="C18" s="36">
        <v>43558.5</v>
      </c>
      <c r="D18" s="36">
        <v>43570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</row>
    <row r="19" spans="1:119" x14ac:dyDescent="0.2">
      <c r="A19" t="s">
        <v>16</v>
      </c>
      <c r="B19" s="36">
        <v>43576</v>
      </c>
      <c r="C19" s="36">
        <v>43582</v>
      </c>
      <c r="D19" s="36">
        <v>43589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</row>
    <row r="20" spans="1:119" x14ac:dyDescent="0.2">
      <c r="A20" t="s">
        <v>17</v>
      </c>
      <c r="B20" s="36">
        <v>43530</v>
      </c>
      <c r="C20" s="36">
        <v>43560.5</v>
      </c>
      <c r="D20" s="36">
        <v>43571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</row>
    <row r="21" spans="1:119" x14ac:dyDescent="0.2">
      <c r="A21" t="s">
        <v>18</v>
      </c>
      <c r="B21" s="36">
        <v>43573</v>
      </c>
      <c r="C21" s="36">
        <v>43592</v>
      </c>
      <c r="D21" s="36">
        <v>43714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</row>
    <row r="22" spans="1:119" x14ac:dyDescent="0.2">
      <c r="A22" t="s">
        <v>19</v>
      </c>
      <c r="B22" s="36">
        <v>43560</v>
      </c>
      <c r="C22" s="36">
        <v>43574</v>
      </c>
      <c r="D22" s="36">
        <v>43581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</row>
    <row r="23" spans="1:119" x14ac:dyDescent="0.2">
      <c r="A23" t="s">
        <v>20</v>
      </c>
      <c r="B23" s="36">
        <v>43537</v>
      </c>
      <c r="C23" s="36">
        <v>43561</v>
      </c>
      <c r="D23" s="36">
        <v>43575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4" spans="1:119" x14ac:dyDescent="0.2">
      <c r="A24" t="s">
        <v>21</v>
      </c>
      <c r="B24" s="36">
        <v>43576</v>
      </c>
      <c r="C24" s="36">
        <v>43589.5</v>
      </c>
      <c r="D24" s="36">
        <v>43606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</row>
    <row r="25" spans="1:119" x14ac:dyDescent="0.2">
      <c r="A25" t="s">
        <v>22</v>
      </c>
      <c r="B25" s="36">
        <v>43466</v>
      </c>
      <c r="C25" s="36">
        <v>43466</v>
      </c>
      <c r="D25" s="36">
        <v>43560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</row>
    <row r="26" spans="1:119" x14ac:dyDescent="0.2">
      <c r="A26" t="s">
        <v>23</v>
      </c>
      <c r="B26" s="36">
        <v>43552</v>
      </c>
      <c r="C26" s="36">
        <v>43563.5</v>
      </c>
      <c r="D26" s="36">
        <v>43573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</row>
    <row r="27" spans="1:119" x14ac:dyDescent="0.2">
      <c r="A27" t="s">
        <v>24</v>
      </c>
      <c r="B27" s="36">
        <v>43557</v>
      </c>
      <c r="C27" s="36">
        <v>43579.5</v>
      </c>
      <c r="D27" s="36">
        <v>43586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</row>
    <row r="28" spans="1:119" x14ac:dyDescent="0.2">
      <c r="A28" t="s">
        <v>25</v>
      </c>
      <c r="B28" s="36">
        <v>43589</v>
      </c>
      <c r="C28" s="36">
        <v>43598</v>
      </c>
      <c r="D28" s="36">
        <v>43607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</row>
    <row r="29" spans="1:119" ht="15" x14ac:dyDescent="0.25">
      <c r="A29" t="s">
        <v>26</v>
      </c>
      <c r="B29" s="36">
        <v>43554</v>
      </c>
      <c r="C29" s="36">
        <v>43573</v>
      </c>
      <c r="D29" s="36">
        <v>43580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9"/>
      <c r="BK29" s="38"/>
      <c r="BL29" s="38"/>
      <c r="BM29" s="38"/>
      <c r="BN29" s="38"/>
      <c r="BO29" s="38"/>
      <c r="BP29" s="38"/>
      <c r="BQ29" s="38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</row>
    <row r="30" spans="1:119" x14ac:dyDescent="0.2">
      <c r="A30" t="s">
        <v>27</v>
      </c>
      <c r="B30" s="36">
        <v>43578</v>
      </c>
      <c r="C30" s="36">
        <v>43580</v>
      </c>
      <c r="D30" s="36">
        <v>43582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</row>
    <row r="31" spans="1:119" x14ac:dyDescent="0.2">
      <c r="A31" t="s">
        <v>28</v>
      </c>
      <c r="B31" s="36">
        <v>43553</v>
      </c>
      <c r="C31" s="36">
        <v>43569.5</v>
      </c>
      <c r="D31" s="36">
        <v>43587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</row>
    <row r="32" spans="1:119" x14ac:dyDescent="0.2">
      <c r="A32" t="s">
        <v>29</v>
      </c>
      <c r="B32" s="36">
        <v>43586</v>
      </c>
      <c r="C32" s="36">
        <v>43586.5</v>
      </c>
      <c r="D32" s="36">
        <v>43587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3" spans="1:119" x14ac:dyDescent="0.2">
      <c r="A33" t="s">
        <v>30</v>
      </c>
      <c r="B33" s="36">
        <v>43527</v>
      </c>
      <c r="C33" s="36">
        <v>43562</v>
      </c>
      <c r="D33" s="36">
        <v>43579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</row>
    <row r="34" spans="1:119" x14ac:dyDescent="0.2">
      <c r="A34" t="s">
        <v>31</v>
      </c>
      <c r="B34" s="36">
        <v>43567</v>
      </c>
      <c r="C34" s="36">
        <v>43586</v>
      </c>
      <c r="D34" s="36">
        <v>43596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</row>
    <row r="35" spans="1:119" x14ac:dyDescent="0.2">
      <c r="A35" t="s">
        <v>32</v>
      </c>
      <c r="B35" s="36">
        <v>43566</v>
      </c>
      <c r="C35" s="36">
        <v>43585.5</v>
      </c>
      <c r="D35" s="36">
        <v>43598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</row>
    <row r="36" spans="1:119" x14ac:dyDescent="0.2">
      <c r="A36" t="s">
        <v>33</v>
      </c>
      <c r="B36" s="36">
        <v>43591</v>
      </c>
      <c r="C36" s="36">
        <v>43605.5</v>
      </c>
      <c r="D36" s="36">
        <v>43773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</row>
    <row r="37" spans="1:119" x14ac:dyDescent="0.2">
      <c r="A37" t="s">
        <v>34</v>
      </c>
      <c r="B37" s="36">
        <v>43579</v>
      </c>
      <c r="C37" s="36">
        <v>43599.5</v>
      </c>
      <c r="D37" s="36">
        <v>43782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</row>
    <row r="38" spans="1:119" x14ac:dyDescent="0.2">
      <c r="A38" t="s">
        <v>35</v>
      </c>
      <c r="B38" s="36">
        <v>43573</v>
      </c>
      <c r="C38" s="36">
        <v>43589.5</v>
      </c>
      <c r="D38" s="36">
        <v>43598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</row>
    <row r="39" spans="1:119" x14ac:dyDescent="0.2">
      <c r="A39" t="s">
        <v>36</v>
      </c>
      <c r="B39" s="36">
        <v>43559</v>
      </c>
      <c r="C39" s="36">
        <v>43577</v>
      </c>
      <c r="D39" s="36">
        <v>43586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</row>
    <row r="40" spans="1:119" x14ac:dyDescent="0.2">
      <c r="A40" t="s">
        <v>37</v>
      </c>
      <c r="B40" s="36">
        <v>43594</v>
      </c>
      <c r="C40" s="36">
        <v>43672.5</v>
      </c>
      <c r="D40" s="36">
        <v>43751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</row>
    <row r="41" spans="1:119" x14ac:dyDescent="0.2">
      <c r="A41" t="s">
        <v>38</v>
      </c>
      <c r="B41" s="36">
        <v>43558</v>
      </c>
      <c r="C41" s="36">
        <v>43581</v>
      </c>
      <c r="D41" s="36">
        <v>43588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</row>
    <row r="42" spans="1:119" x14ac:dyDescent="0.2">
      <c r="A42" t="s">
        <v>39</v>
      </c>
      <c r="B42" s="36">
        <v>43510</v>
      </c>
      <c r="C42" s="36">
        <v>43542.5</v>
      </c>
      <c r="D42" s="36">
        <v>43562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</row>
    <row r="43" spans="1:119" x14ac:dyDescent="0.2">
      <c r="A43" t="s">
        <v>40</v>
      </c>
      <c r="B43" s="36">
        <v>43529</v>
      </c>
      <c r="C43" s="36">
        <v>43563.5</v>
      </c>
      <c r="D43" s="36">
        <v>43577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</row>
    <row r="44" spans="1:119" x14ac:dyDescent="0.2">
      <c r="A44" t="s">
        <v>41</v>
      </c>
      <c r="B44" s="36">
        <v>43471</v>
      </c>
      <c r="C44" s="36">
        <v>43569</v>
      </c>
      <c r="D44" s="36">
        <v>43581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</row>
    <row r="45" spans="1:119" x14ac:dyDescent="0.2">
      <c r="A45" t="s">
        <v>42</v>
      </c>
      <c r="B45" s="36">
        <v>43524</v>
      </c>
      <c r="C45" s="36">
        <v>43527.5</v>
      </c>
      <c r="D45" s="36">
        <v>43548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</row>
    <row r="46" spans="1:119" x14ac:dyDescent="0.2">
      <c r="A46" t="s">
        <v>43</v>
      </c>
      <c r="B46" s="36">
        <v>43574</v>
      </c>
      <c r="C46" s="36">
        <v>43593.5</v>
      </c>
      <c r="D46" s="36">
        <v>43613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</row>
    <row r="47" spans="1:119" x14ac:dyDescent="0.2">
      <c r="A47" t="s">
        <v>44</v>
      </c>
      <c r="B47" s="36">
        <v>43597</v>
      </c>
      <c r="C47" s="36">
        <v>43614</v>
      </c>
      <c r="D47" s="36">
        <v>43649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</row>
    <row r="48" spans="1:119" x14ac:dyDescent="0.2">
      <c r="A48" t="s">
        <v>45</v>
      </c>
      <c r="B48" s="36">
        <v>43466</v>
      </c>
      <c r="C48" s="36">
        <v>43466</v>
      </c>
      <c r="D48" s="36">
        <v>43471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</row>
    <row r="49" spans="1:119" x14ac:dyDescent="0.2">
      <c r="A49" t="s">
        <v>46</v>
      </c>
      <c r="B49" s="36">
        <v>43466</v>
      </c>
      <c r="C49" s="36">
        <v>43466</v>
      </c>
      <c r="D49" s="36">
        <v>43471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</row>
    <row r="50" spans="1:119" x14ac:dyDescent="0.2">
      <c r="A50" t="s">
        <v>47</v>
      </c>
      <c r="B50" s="36">
        <v>43466</v>
      </c>
      <c r="C50" s="36">
        <v>43466</v>
      </c>
      <c r="D50" s="36">
        <v>43466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</row>
    <row r="51" spans="1:119" x14ac:dyDescent="0.2">
      <c r="A51" t="s">
        <v>48</v>
      </c>
      <c r="B51" s="36">
        <v>43466</v>
      </c>
      <c r="C51" s="36">
        <v>43466</v>
      </c>
      <c r="D51" s="36">
        <v>43470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</row>
    <row r="52" spans="1:119" x14ac:dyDescent="0.2">
      <c r="A52" t="s">
        <v>49</v>
      </c>
      <c r="B52" s="36">
        <v>43466</v>
      </c>
      <c r="C52" s="36">
        <v>43466</v>
      </c>
      <c r="D52" s="36">
        <v>43471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</row>
    <row r="53" spans="1:119" x14ac:dyDescent="0.2">
      <c r="A53" t="s">
        <v>50</v>
      </c>
      <c r="B53" s="36">
        <v>43466</v>
      </c>
      <c r="C53" s="36">
        <v>43466</v>
      </c>
      <c r="D53" s="36">
        <v>43470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</row>
    <row r="54" spans="1:119" x14ac:dyDescent="0.2">
      <c r="A54" t="s">
        <v>51</v>
      </c>
      <c r="B54" s="36">
        <v>43546</v>
      </c>
      <c r="C54" s="36">
        <v>43577.5</v>
      </c>
      <c r="D54" s="36">
        <v>43584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</row>
    <row r="55" spans="1:119" x14ac:dyDescent="0.2">
      <c r="A55" t="s">
        <v>52</v>
      </c>
      <c r="B55" s="36">
        <v>43549</v>
      </c>
      <c r="C55" s="36">
        <v>43578</v>
      </c>
      <c r="D55" s="36">
        <v>43584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</row>
    <row r="56" spans="1:119" x14ac:dyDescent="0.2">
      <c r="A56" t="s">
        <v>53</v>
      </c>
      <c r="B56" s="36">
        <v>43761</v>
      </c>
      <c r="C56" s="36">
        <v>43761</v>
      </c>
      <c r="D56" s="36">
        <v>43761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</row>
    <row r="57" spans="1:119" x14ac:dyDescent="0.2">
      <c r="A57" t="s">
        <v>54</v>
      </c>
      <c r="B57" s="36">
        <v>43584</v>
      </c>
      <c r="C57" s="36">
        <v>43595</v>
      </c>
      <c r="D57" s="36">
        <v>43618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</row>
    <row r="58" spans="1:119" x14ac:dyDescent="0.2">
      <c r="A58" t="s">
        <v>55</v>
      </c>
      <c r="B58" s="36">
        <v>43466</v>
      </c>
      <c r="C58" s="36">
        <v>43467</v>
      </c>
      <c r="D58" s="36">
        <v>43753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</row>
    <row r="59" spans="1:119" x14ac:dyDescent="0.2">
      <c r="A59" t="s">
        <v>56</v>
      </c>
      <c r="B59" s="36">
        <v>43565</v>
      </c>
      <c r="C59" s="36">
        <v>43574</v>
      </c>
      <c r="D59" s="36">
        <v>43581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</row>
    <row r="60" spans="1:119" x14ac:dyDescent="0.2">
      <c r="A60" t="s">
        <v>57</v>
      </c>
      <c r="B60" s="36">
        <v>43573</v>
      </c>
      <c r="C60" s="36">
        <v>43586</v>
      </c>
      <c r="D60" s="36">
        <v>43593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</row>
    <row r="61" spans="1:119" x14ac:dyDescent="0.2">
      <c r="A61" t="s">
        <v>58</v>
      </c>
      <c r="B61" s="36">
        <v>43573</v>
      </c>
      <c r="C61" s="36">
        <v>43580.5</v>
      </c>
      <c r="D61" s="36">
        <v>43586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</row>
    <row r="62" spans="1:119" x14ac:dyDescent="0.2">
      <c r="A62" t="s">
        <v>59</v>
      </c>
      <c r="B62" s="36">
        <v>43593</v>
      </c>
      <c r="C62" s="36">
        <v>43602</v>
      </c>
      <c r="D62" s="36">
        <v>43610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</row>
    <row r="63" spans="1:119" x14ac:dyDescent="0.2">
      <c r="A63" t="s">
        <v>60</v>
      </c>
      <c r="B63" s="36" t="s">
        <v>393</v>
      </c>
      <c r="C63" s="36" t="s">
        <v>393</v>
      </c>
      <c r="D63" s="36" t="s">
        <v>393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</row>
    <row r="64" spans="1:119" x14ac:dyDescent="0.2">
      <c r="A64" t="s">
        <v>61</v>
      </c>
      <c r="B64" s="36" t="s">
        <v>393</v>
      </c>
      <c r="C64" s="36" t="s">
        <v>393</v>
      </c>
      <c r="D64" s="36" t="s">
        <v>393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</row>
    <row r="65" spans="1:119" x14ac:dyDescent="0.2">
      <c r="A65" t="s">
        <v>62</v>
      </c>
      <c r="B65" s="36">
        <v>43617</v>
      </c>
      <c r="C65" s="36">
        <v>43620</v>
      </c>
      <c r="D65" s="36">
        <v>43750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</row>
    <row r="66" spans="1:119" x14ac:dyDescent="0.2">
      <c r="A66" t="s">
        <v>63</v>
      </c>
      <c r="B66" s="36">
        <v>43526</v>
      </c>
      <c r="C66" s="36">
        <v>43546.5</v>
      </c>
      <c r="D66" s="36">
        <v>43565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</row>
    <row r="67" spans="1:119" x14ac:dyDescent="0.2">
      <c r="A67" t="s">
        <v>64</v>
      </c>
      <c r="B67" s="36" t="s">
        <v>393</v>
      </c>
      <c r="C67" s="36" t="s">
        <v>393</v>
      </c>
      <c r="D67" s="36" t="s">
        <v>393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</row>
    <row r="68" spans="1:119" x14ac:dyDescent="0.2">
      <c r="A68" t="s">
        <v>65</v>
      </c>
      <c r="B68" s="36">
        <v>43544</v>
      </c>
      <c r="C68" s="36">
        <v>43562.5</v>
      </c>
      <c r="D68" s="36">
        <v>43580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</row>
    <row r="69" spans="1:119" x14ac:dyDescent="0.2">
      <c r="A69" t="s">
        <v>385</v>
      </c>
      <c r="B69" s="36">
        <v>43748</v>
      </c>
      <c r="C69" s="36">
        <v>43748</v>
      </c>
      <c r="D69" s="36">
        <v>43748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</row>
    <row r="70" spans="1:119" x14ac:dyDescent="0.2">
      <c r="A70" t="s">
        <v>386</v>
      </c>
      <c r="B70" s="36" t="s">
        <v>393</v>
      </c>
      <c r="C70" s="36" t="s">
        <v>393</v>
      </c>
      <c r="D70" s="36" t="s">
        <v>393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</row>
    <row r="71" spans="1:119" x14ac:dyDescent="0.2">
      <c r="A71" t="s">
        <v>66</v>
      </c>
      <c r="B71" s="36">
        <v>43593</v>
      </c>
      <c r="C71" s="36">
        <v>43593</v>
      </c>
      <c r="D71" s="36">
        <v>43593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</row>
    <row r="72" spans="1:119" x14ac:dyDescent="0.2">
      <c r="A72" t="s">
        <v>67</v>
      </c>
      <c r="B72" s="36">
        <v>43553</v>
      </c>
      <c r="C72" s="36">
        <v>43601</v>
      </c>
      <c r="D72" s="36">
        <v>43685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</row>
    <row r="73" spans="1:119" x14ac:dyDescent="0.2">
      <c r="A73" t="s">
        <v>68</v>
      </c>
      <c r="B73" s="36">
        <v>43543</v>
      </c>
      <c r="C73" s="36">
        <v>43566</v>
      </c>
      <c r="D73" s="36">
        <v>43576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</row>
    <row r="74" spans="1:119" x14ac:dyDescent="0.2">
      <c r="A74" t="s">
        <v>69</v>
      </c>
      <c r="B74" s="36">
        <v>43625</v>
      </c>
      <c r="C74" s="36">
        <v>43625</v>
      </c>
      <c r="D74" s="36">
        <v>43625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</row>
    <row r="75" spans="1:119" x14ac:dyDescent="0.2">
      <c r="A75" t="s">
        <v>70</v>
      </c>
      <c r="B75" s="36">
        <v>43573</v>
      </c>
      <c r="C75" s="36">
        <v>43589</v>
      </c>
      <c r="D75" s="36">
        <v>43612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</row>
    <row r="76" spans="1:119" x14ac:dyDescent="0.2">
      <c r="A76" t="s">
        <v>71</v>
      </c>
      <c r="B76" s="36" t="s">
        <v>393</v>
      </c>
      <c r="C76" s="36" t="s">
        <v>393</v>
      </c>
      <c r="D76" s="36" t="s">
        <v>393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</row>
    <row r="77" spans="1:119" x14ac:dyDescent="0.2">
      <c r="A77" t="s">
        <v>72</v>
      </c>
      <c r="B77" s="36" t="s">
        <v>393</v>
      </c>
      <c r="C77" s="36" t="s">
        <v>393</v>
      </c>
      <c r="D77" s="36" t="s">
        <v>393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</row>
    <row r="78" spans="1:119" x14ac:dyDescent="0.2">
      <c r="A78" t="s">
        <v>73</v>
      </c>
      <c r="B78" s="36">
        <v>43577</v>
      </c>
      <c r="C78" s="36">
        <v>43597</v>
      </c>
      <c r="D78" s="36">
        <v>43611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</row>
    <row r="79" spans="1:119" x14ac:dyDescent="0.2">
      <c r="A79" t="s">
        <v>74</v>
      </c>
      <c r="B79" s="36">
        <v>43564</v>
      </c>
      <c r="C79" s="36">
        <v>43575</v>
      </c>
      <c r="D79" s="36">
        <v>43590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</row>
    <row r="80" spans="1:119" x14ac:dyDescent="0.2">
      <c r="A80" t="s">
        <v>75</v>
      </c>
      <c r="B80" s="36">
        <v>43583</v>
      </c>
      <c r="C80" s="36">
        <v>43586.5</v>
      </c>
      <c r="D80" s="36">
        <v>43590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</row>
    <row r="81" spans="1:119" x14ac:dyDescent="0.2">
      <c r="A81" t="s">
        <v>76</v>
      </c>
      <c r="B81" s="36">
        <v>43466</v>
      </c>
      <c r="C81" s="36">
        <v>43466</v>
      </c>
      <c r="D81" s="36">
        <v>43518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</row>
    <row r="82" spans="1:119" x14ac:dyDescent="0.2">
      <c r="A82" t="s">
        <v>77</v>
      </c>
      <c r="B82" s="36">
        <v>43726</v>
      </c>
      <c r="C82" s="36">
        <v>43726</v>
      </c>
      <c r="D82" s="36">
        <v>43726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</row>
    <row r="83" spans="1:119" x14ac:dyDescent="0.2">
      <c r="A83" t="s">
        <v>78</v>
      </c>
      <c r="B83" s="36">
        <v>43625</v>
      </c>
      <c r="C83" s="36">
        <v>43631.5</v>
      </c>
      <c r="D83" s="36">
        <v>43638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</row>
    <row r="84" spans="1:119" x14ac:dyDescent="0.2">
      <c r="A84" t="s">
        <v>79</v>
      </c>
      <c r="B84" s="36">
        <v>43556</v>
      </c>
      <c r="C84" s="36">
        <v>43565</v>
      </c>
      <c r="D84" s="36">
        <v>43568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</row>
    <row r="85" spans="1:119" x14ac:dyDescent="0.2">
      <c r="A85" t="s">
        <v>80</v>
      </c>
      <c r="B85" s="36">
        <v>43547</v>
      </c>
      <c r="C85" s="36">
        <v>43557.5</v>
      </c>
      <c r="D85" s="36">
        <v>43570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</row>
    <row r="86" spans="1:119" x14ac:dyDescent="0.2">
      <c r="A86" t="s">
        <v>81</v>
      </c>
      <c r="B86" s="36">
        <v>43562</v>
      </c>
      <c r="C86" s="36">
        <v>43572</v>
      </c>
      <c r="D86" s="36">
        <v>43589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</row>
    <row r="87" spans="1:119" x14ac:dyDescent="0.2">
      <c r="A87" t="s">
        <v>82</v>
      </c>
      <c r="B87" s="36">
        <v>43576</v>
      </c>
      <c r="C87" s="36">
        <v>43590</v>
      </c>
      <c r="D87" s="36">
        <v>43606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</row>
    <row r="88" spans="1:119" x14ac:dyDescent="0.2">
      <c r="A88" t="s">
        <v>83</v>
      </c>
      <c r="B88" s="36">
        <v>43466</v>
      </c>
      <c r="C88" s="36">
        <v>43466</v>
      </c>
      <c r="D88" s="36">
        <v>43467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</row>
    <row r="89" spans="1:119" x14ac:dyDescent="0.2">
      <c r="A89" t="s">
        <v>84</v>
      </c>
      <c r="B89" s="36">
        <v>43466</v>
      </c>
      <c r="C89" s="36">
        <v>43466</v>
      </c>
      <c r="D89" s="36">
        <v>43467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</row>
    <row r="90" spans="1:119" x14ac:dyDescent="0.2">
      <c r="A90" t="s">
        <v>85</v>
      </c>
      <c r="B90" s="36">
        <v>43529</v>
      </c>
      <c r="C90" s="36">
        <v>43553.5</v>
      </c>
      <c r="D90" s="36">
        <v>43563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</row>
    <row r="91" spans="1:119" x14ac:dyDescent="0.2">
      <c r="A91" t="s">
        <v>86</v>
      </c>
      <c r="B91" s="36">
        <v>43519</v>
      </c>
      <c r="C91" s="36">
        <v>43558</v>
      </c>
      <c r="D91" s="36">
        <v>43572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</row>
    <row r="92" spans="1:119" x14ac:dyDescent="0.2">
      <c r="A92" t="s">
        <v>87</v>
      </c>
      <c r="B92" s="36" t="s">
        <v>393</v>
      </c>
      <c r="C92" s="36" t="s">
        <v>393</v>
      </c>
      <c r="D92" s="36" t="s">
        <v>393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</row>
    <row r="93" spans="1:119" x14ac:dyDescent="0.2">
      <c r="A93" t="s">
        <v>88</v>
      </c>
      <c r="B93" s="36">
        <v>43566</v>
      </c>
      <c r="C93" s="36">
        <v>43579</v>
      </c>
      <c r="D93" s="36">
        <v>43594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</row>
    <row r="94" spans="1:119" x14ac:dyDescent="0.2">
      <c r="A94" t="s">
        <v>89</v>
      </c>
      <c r="B94" s="36">
        <v>43572</v>
      </c>
      <c r="C94" s="36">
        <v>43600</v>
      </c>
      <c r="D94" s="36">
        <v>43697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</row>
    <row r="95" spans="1:119" x14ac:dyDescent="0.2">
      <c r="A95" t="s">
        <v>90</v>
      </c>
      <c r="B95" s="36">
        <v>43612</v>
      </c>
      <c r="C95" s="36">
        <v>43612</v>
      </c>
      <c r="D95" s="36">
        <v>43612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</row>
    <row r="96" spans="1:119" x14ac:dyDescent="0.2">
      <c r="A96" t="s">
        <v>91</v>
      </c>
      <c r="B96" s="36">
        <v>43466</v>
      </c>
      <c r="C96" s="36">
        <v>43469.5</v>
      </c>
      <c r="D96" s="36">
        <v>43507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</row>
    <row r="97" spans="1:119" x14ac:dyDescent="0.2">
      <c r="A97" t="s">
        <v>92</v>
      </c>
      <c r="B97" s="36">
        <v>43612</v>
      </c>
      <c r="C97" s="36">
        <v>43633.5</v>
      </c>
      <c r="D97" s="36">
        <v>43720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</row>
    <row r="98" spans="1:119" x14ac:dyDescent="0.2">
      <c r="A98" t="s">
        <v>93</v>
      </c>
      <c r="B98" s="36">
        <v>43605</v>
      </c>
      <c r="C98" s="36">
        <v>43605</v>
      </c>
      <c r="D98" s="36">
        <v>43605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</row>
    <row r="99" spans="1:119" x14ac:dyDescent="0.2">
      <c r="A99" t="s">
        <v>94</v>
      </c>
      <c r="B99" s="36">
        <v>43563</v>
      </c>
      <c r="C99" s="36">
        <v>43573</v>
      </c>
      <c r="D99" s="36">
        <v>43580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</row>
    <row r="100" spans="1:119" x14ac:dyDescent="0.2">
      <c r="A100" t="s">
        <v>95</v>
      </c>
      <c r="B100" s="36">
        <v>43533</v>
      </c>
      <c r="C100" s="36">
        <v>43550</v>
      </c>
      <c r="D100" s="36">
        <v>43565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</row>
    <row r="101" spans="1:119" x14ac:dyDescent="0.2">
      <c r="A101" t="s">
        <v>96</v>
      </c>
      <c r="B101" s="36">
        <v>43598</v>
      </c>
      <c r="C101" s="36">
        <v>43611</v>
      </c>
      <c r="D101" s="36">
        <v>43729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</row>
    <row r="102" spans="1:119" x14ac:dyDescent="0.2">
      <c r="A102" t="s">
        <v>97</v>
      </c>
      <c r="B102" s="36">
        <v>43526</v>
      </c>
      <c r="C102" s="36">
        <v>43547.5</v>
      </c>
      <c r="D102" s="36">
        <v>43563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</row>
    <row r="103" spans="1:119" x14ac:dyDescent="0.2">
      <c r="A103" t="s">
        <v>98</v>
      </c>
      <c r="B103" s="36">
        <v>43567</v>
      </c>
      <c r="C103" s="36">
        <v>43582</v>
      </c>
      <c r="D103" s="36">
        <v>43591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</row>
    <row r="104" spans="1:119" x14ac:dyDescent="0.2">
      <c r="A104" t="s">
        <v>99</v>
      </c>
      <c r="B104" s="36">
        <v>43486</v>
      </c>
      <c r="C104" s="36">
        <v>43601</v>
      </c>
      <c r="D104" s="36">
        <v>43784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</row>
    <row r="105" spans="1:119" x14ac:dyDescent="0.2">
      <c r="A105" t="s">
        <v>100</v>
      </c>
      <c r="B105" s="36">
        <v>43552</v>
      </c>
      <c r="C105" s="36">
        <v>43557</v>
      </c>
      <c r="D105" s="36">
        <v>43568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</row>
    <row r="106" spans="1:119" x14ac:dyDescent="0.2">
      <c r="A106" t="s">
        <v>101</v>
      </c>
      <c r="B106" s="36">
        <v>43557</v>
      </c>
      <c r="C106" s="36">
        <v>43580.5</v>
      </c>
      <c r="D106" s="36">
        <v>43597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</row>
    <row r="107" spans="1:119" x14ac:dyDescent="0.2">
      <c r="A107" t="s">
        <v>102</v>
      </c>
      <c r="B107" s="36">
        <v>43579</v>
      </c>
      <c r="C107" s="36">
        <v>43592.5</v>
      </c>
      <c r="D107" s="36">
        <v>43612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</row>
    <row r="108" spans="1:119" x14ac:dyDescent="0.2">
      <c r="A108" t="s">
        <v>103</v>
      </c>
      <c r="B108" s="36">
        <v>43624</v>
      </c>
      <c r="C108" s="36">
        <v>43627</v>
      </c>
      <c r="D108" s="36">
        <v>43630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</row>
    <row r="109" spans="1:119" x14ac:dyDescent="0.2">
      <c r="A109" t="s">
        <v>104</v>
      </c>
      <c r="B109" s="36">
        <v>43579</v>
      </c>
      <c r="C109" s="36">
        <v>43607</v>
      </c>
      <c r="D109" s="36">
        <v>43621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</row>
    <row r="110" spans="1:119" x14ac:dyDescent="0.2">
      <c r="A110" t="s">
        <v>105</v>
      </c>
      <c r="B110" s="36">
        <v>43466</v>
      </c>
      <c r="C110" s="36">
        <v>43580</v>
      </c>
      <c r="D110" s="36">
        <v>43758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</row>
    <row r="111" spans="1:119" x14ac:dyDescent="0.2">
      <c r="A111" t="s">
        <v>106</v>
      </c>
      <c r="B111" s="36">
        <v>43535</v>
      </c>
      <c r="C111" s="36">
        <v>43561</v>
      </c>
      <c r="D111" s="36">
        <v>43576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</row>
    <row r="112" spans="1:119" x14ac:dyDescent="0.2">
      <c r="A112" t="s">
        <v>107</v>
      </c>
      <c r="B112" s="36">
        <v>43534</v>
      </c>
      <c r="C112" s="36">
        <v>43554</v>
      </c>
      <c r="D112" s="36">
        <v>43567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</row>
    <row r="113" spans="1:119" x14ac:dyDescent="0.2">
      <c r="A113" t="s">
        <v>108</v>
      </c>
      <c r="B113" s="36">
        <v>43592</v>
      </c>
      <c r="C113" s="36">
        <v>43592</v>
      </c>
      <c r="D113" s="36">
        <v>43592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</row>
    <row r="114" spans="1:119" x14ac:dyDescent="0.2">
      <c r="A114" t="s">
        <v>109</v>
      </c>
      <c r="B114" s="36">
        <v>43572</v>
      </c>
      <c r="C114" s="36">
        <v>43594</v>
      </c>
      <c r="D114" s="36">
        <v>43616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</row>
    <row r="115" spans="1:119" x14ac:dyDescent="0.2">
      <c r="A115" t="s">
        <v>110</v>
      </c>
      <c r="B115" s="36" t="s">
        <v>393</v>
      </c>
      <c r="C115" s="36" t="s">
        <v>393</v>
      </c>
      <c r="D115" s="36" t="s">
        <v>393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</row>
    <row r="116" spans="1:119" x14ac:dyDescent="0.2">
      <c r="A116" t="s">
        <v>111</v>
      </c>
      <c r="B116" s="36" t="s">
        <v>393</v>
      </c>
      <c r="C116" s="36" t="s">
        <v>393</v>
      </c>
      <c r="D116" s="36" t="s">
        <v>393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</row>
    <row r="117" spans="1:119" x14ac:dyDescent="0.2">
      <c r="A117" t="s">
        <v>112</v>
      </c>
      <c r="B117" s="36">
        <v>43625</v>
      </c>
      <c r="C117" s="36">
        <v>43625</v>
      </c>
      <c r="D117" s="36">
        <v>43625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</row>
    <row r="118" spans="1:119" x14ac:dyDescent="0.2">
      <c r="A118" t="s">
        <v>113</v>
      </c>
      <c r="B118" s="36">
        <v>43574</v>
      </c>
      <c r="C118" s="36">
        <v>43592</v>
      </c>
      <c r="D118" s="36">
        <v>43635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</row>
    <row r="119" spans="1:119" x14ac:dyDescent="0.2">
      <c r="A119" t="s">
        <v>114</v>
      </c>
      <c r="B119" s="36">
        <v>43560</v>
      </c>
      <c r="C119" s="36">
        <v>43566.5</v>
      </c>
      <c r="D119" s="36">
        <v>43577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</row>
    <row r="120" spans="1:119" x14ac:dyDescent="0.2">
      <c r="A120" t="s">
        <v>115</v>
      </c>
      <c r="B120" s="36">
        <v>43725</v>
      </c>
      <c r="C120" s="36">
        <v>43725</v>
      </c>
      <c r="D120" s="36">
        <v>43725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</row>
    <row r="121" spans="1:119" x14ac:dyDescent="0.2">
      <c r="A121" t="s">
        <v>116</v>
      </c>
      <c r="B121" s="36">
        <v>43730</v>
      </c>
      <c r="C121" s="36">
        <v>43754</v>
      </c>
      <c r="D121" s="36">
        <v>43756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</row>
    <row r="122" spans="1:119" x14ac:dyDescent="0.2">
      <c r="A122" t="s">
        <v>117</v>
      </c>
      <c r="B122" s="36" t="s">
        <v>393</v>
      </c>
      <c r="C122" s="36" t="s">
        <v>393</v>
      </c>
      <c r="D122" s="36" t="s">
        <v>393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</row>
    <row r="123" spans="1:119" x14ac:dyDescent="0.2">
      <c r="A123" t="s">
        <v>118</v>
      </c>
      <c r="B123" s="36">
        <v>43549</v>
      </c>
      <c r="C123" s="36">
        <v>43560</v>
      </c>
      <c r="D123" s="36">
        <v>43572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</row>
    <row r="124" spans="1:119" x14ac:dyDescent="0.2">
      <c r="A124" t="s">
        <v>119</v>
      </c>
      <c r="B124" s="36">
        <v>43591</v>
      </c>
      <c r="C124" s="36">
        <v>43597</v>
      </c>
      <c r="D124" s="36">
        <v>43606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</row>
    <row r="125" spans="1:119" x14ac:dyDescent="0.2">
      <c r="A125" t="s">
        <v>120</v>
      </c>
      <c r="B125" s="36" t="s">
        <v>393</v>
      </c>
      <c r="C125" s="36" t="s">
        <v>393</v>
      </c>
      <c r="D125" s="36" t="s">
        <v>393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</row>
    <row r="126" spans="1:119" x14ac:dyDescent="0.2">
      <c r="A126" t="s">
        <v>121</v>
      </c>
      <c r="B126" s="36">
        <v>43527</v>
      </c>
      <c r="C126" s="36">
        <v>43544.5</v>
      </c>
      <c r="D126" s="36">
        <v>43560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</row>
    <row r="127" spans="1:119" x14ac:dyDescent="0.2">
      <c r="A127" t="s">
        <v>122</v>
      </c>
      <c r="B127" s="36">
        <v>43572</v>
      </c>
      <c r="C127" s="36">
        <v>43578</v>
      </c>
      <c r="D127" s="36">
        <v>43584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</row>
    <row r="128" spans="1:119" x14ac:dyDescent="0.2">
      <c r="A128" t="s">
        <v>123</v>
      </c>
      <c r="B128" s="36">
        <v>43553</v>
      </c>
      <c r="C128" s="36">
        <v>43564.5</v>
      </c>
      <c r="D128" s="36">
        <v>43575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</row>
    <row r="129" spans="1:119" x14ac:dyDescent="0.2">
      <c r="A129" t="s">
        <v>124</v>
      </c>
      <c r="B129" s="36">
        <v>43595</v>
      </c>
      <c r="C129" s="36">
        <v>43604</v>
      </c>
      <c r="D129" s="36">
        <v>43658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</row>
    <row r="130" spans="1:119" x14ac:dyDescent="0.2">
      <c r="A130" t="s">
        <v>125</v>
      </c>
      <c r="B130" s="36">
        <v>43631</v>
      </c>
      <c r="C130" s="36">
        <v>43631</v>
      </c>
      <c r="D130" s="36">
        <v>43631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</row>
    <row r="131" spans="1:119" x14ac:dyDescent="0.2">
      <c r="A131" t="s">
        <v>126</v>
      </c>
      <c r="B131" s="36">
        <v>43596</v>
      </c>
      <c r="C131" s="36">
        <v>43602.5</v>
      </c>
      <c r="D131" s="36">
        <v>43612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</row>
    <row r="132" spans="1:119" x14ac:dyDescent="0.2">
      <c r="A132" t="s">
        <v>127</v>
      </c>
      <c r="B132" s="36">
        <v>43574</v>
      </c>
      <c r="C132" s="36">
        <v>43577</v>
      </c>
      <c r="D132" s="36">
        <v>43585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</row>
    <row r="133" spans="1:119" x14ac:dyDescent="0.2">
      <c r="A133" t="s">
        <v>128</v>
      </c>
      <c r="B133" s="36">
        <v>43542</v>
      </c>
      <c r="C133" s="36">
        <v>43563.5</v>
      </c>
      <c r="D133" s="36">
        <v>43571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</row>
    <row r="134" spans="1:119" x14ac:dyDescent="0.2">
      <c r="A134" t="s">
        <v>129</v>
      </c>
      <c r="B134" s="36">
        <v>43565</v>
      </c>
      <c r="C134" s="36">
        <v>43572</v>
      </c>
      <c r="D134" s="36">
        <v>43577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</row>
    <row r="135" spans="1:119" x14ac:dyDescent="0.2">
      <c r="A135" t="s">
        <v>130</v>
      </c>
      <c r="B135" s="36">
        <v>43565</v>
      </c>
      <c r="C135" s="36">
        <v>43578.5</v>
      </c>
      <c r="D135" s="36">
        <v>43588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</row>
    <row r="136" spans="1:119" x14ac:dyDescent="0.2">
      <c r="A136" t="s">
        <v>131</v>
      </c>
      <c r="B136" s="36">
        <v>43583</v>
      </c>
      <c r="C136" s="36">
        <v>43589</v>
      </c>
      <c r="D136" s="36">
        <v>43596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</row>
    <row r="137" spans="1:119" x14ac:dyDescent="0.2">
      <c r="A137" t="s">
        <v>132</v>
      </c>
      <c r="B137" s="36">
        <v>43584</v>
      </c>
      <c r="C137" s="36">
        <v>43597</v>
      </c>
      <c r="D137" s="36">
        <v>43604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</row>
    <row r="138" spans="1:119" x14ac:dyDescent="0.2">
      <c r="A138" t="s">
        <v>133</v>
      </c>
      <c r="B138" s="36">
        <v>43568</v>
      </c>
      <c r="C138" s="36">
        <v>43580</v>
      </c>
      <c r="D138" s="36">
        <v>43584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</row>
    <row r="139" spans="1:119" x14ac:dyDescent="0.2">
      <c r="A139" t="s">
        <v>134</v>
      </c>
      <c r="B139" s="36">
        <v>43600</v>
      </c>
      <c r="C139" s="36">
        <v>43604</v>
      </c>
      <c r="D139" s="36">
        <v>43609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</row>
    <row r="140" spans="1:119" x14ac:dyDescent="0.2">
      <c r="A140" t="s">
        <v>135</v>
      </c>
      <c r="B140" s="36">
        <v>43595</v>
      </c>
      <c r="C140" s="36">
        <v>43600.5</v>
      </c>
      <c r="D140" s="36">
        <v>43614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</row>
    <row r="141" spans="1:119" x14ac:dyDescent="0.2">
      <c r="A141" t="s">
        <v>136</v>
      </c>
      <c r="B141" s="36">
        <v>43583</v>
      </c>
      <c r="C141" s="36">
        <v>43590</v>
      </c>
      <c r="D141" s="36">
        <v>43594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</row>
    <row r="142" spans="1:119" x14ac:dyDescent="0.2">
      <c r="A142" t="s">
        <v>137</v>
      </c>
      <c r="B142" s="36">
        <v>43596</v>
      </c>
      <c r="C142" s="36">
        <v>43605</v>
      </c>
      <c r="D142" s="36">
        <v>43623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</row>
    <row r="143" spans="1:119" x14ac:dyDescent="0.2">
      <c r="A143" t="s">
        <v>138</v>
      </c>
      <c r="B143" s="36">
        <v>43572</v>
      </c>
      <c r="C143" s="36">
        <v>43577</v>
      </c>
      <c r="D143" s="36">
        <v>43586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</row>
    <row r="144" spans="1:119" x14ac:dyDescent="0.2">
      <c r="A144" t="s">
        <v>139</v>
      </c>
      <c r="B144" s="36">
        <v>43604</v>
      </c>
      <c r="C144" s="36">
        <v>43737.5</v>
      </c>
      <c r="D144" s="36">
        <v>43754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</row>
    <row r="145" spans="1:119" x14ac:dyDescent="0.2">
      <c r="A145" t="s">
        <v>140</v>
      </c>
      <c r="B145" s="36">
        <v>43757</v>
      </c>
      <c r="C145" s="36">
        <v>43757</v>
      </c>
      <c r="D145" s="36">
        <v>43757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</row>
    <row r="146" spans="1:119" x14ac:dyDescent="0.2">
      <c r="A146" t="s">
        <v>141</v>
      </c>
      <c r="B146" s="36">
        <v>43598</v>
      </c>
      <c r="C146" s="36">
        <v>43605</v>
      </c>
      <c r="D146" s="36">
        <v>43613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</row>
    <row r="147" spans="1:119" x14ac:dyDescent="0.2">
      <c r="A147" t="s">
        <v>142</v>
      </c>
      <c r="B147" s="36">
        <v>43656</v>
      </c>
      <c r="C147" s="36">
        <v>43656</v>
      </c>
      <c r="D147" s="36">
        <v>43656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</row>
    <row r="148" spans="1:119" x14ac:dyDescent="0.2">
      <c r="A148" t="s">
        <v>143</v>
      </c>
      <c r="B148" s="36">
        <v>43617</v>
      </c>
      <c r="C148" s="36">
        <v>43672</v>
      </c>
      <c r="D148" s="36">
        <v>43735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</row>
    <row r="149" spans="1:119" x14ac:dyDescent="0.2">
      <c r="A149" t="s">
        <v>144</v>
      </c>
      <c r="B149" s="36">
        <v>43614</v>
      </c>
      <c r="C149" s="36">
        <v>43678</v>
      </c>
      <c r="D149" s="36">
        <v>43745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</row>
    <row r="150" spans="1:119" x14ac:dyDescent="0.2">
      <c r="A150" t="s">
        <v>145</v>
      </c>
      <c r="B150" s="36">
        <v>43592</v>
      </c>
      <c r="C150" s="36">
        <v>43603</v>
      </c>
      <c r="D150" s="36">
        <v>43607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</row>
    <row r="151" spans="1:119" x14ac:dyDescent="0.2">
      <c r="A151" t="s">
        <v>146</v>
      </c>
      <c r="B151" s="36">
        <v>43613</v>
      </c>
      <c r="C151" s="36">
        <v>43618</v>
      </c>
      <c r="D151" s="36">
        <v>43757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</row>
    <row r="152" spans="1:119" x14ac:dyDescent="0.2">
      <c r="A152" t="s">
        <v>147</v>
      </c>
      <c r="B152" s="36">
        <v>43586</v>
      </c>
      <c r="C152" s="36">
        <v>43598.5</v>
      </c>
      <c r="D152" s="36">
        <v>43609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</row>
    <row r="153" spans="1:119" x14ac:dyDescent="0.2">
      <c r="A153" t="s">
        <v>148</v>
      </c>
      <c r="B153" s="36">
        <v>43569</v>
      </c>
      <c r="C153" s="36">
        <v>43581</v>
      </c>
      <c r="D153" s="36">
        <v>43588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</row>
    <row r="154" spans="1:119" x14ac:dyDescent="0.2">
      <c r="A154" t="s">
        <v>149</v>
      </c>
      <c r="B154" s="36" t="s">
        <v>393</v>
      </c>
      <c r="C154" s="36" t="s">
        <v>393</v>
      </c>
      <c r="D154" s="36" t="s">
        <v>393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</row>
    <row r="155" spans="1:119" x14ac:dyDescent="0.2">
      <c r="A155" t="s">
        <v>150</v>
      </c>
      <c r="B155" s="36">
        <v>43559</v>
      </c>
      <c r="C155" s="36">
        <v>43568.5</v>
      </c>
      <c r="D155" s="36">
        <v>43577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</row>
    <row r="156" spans="1:119" x14ac:dyDescent="0.2">
      <c r="A156" t="s">
        <v>151</v>
      </c>
      <c r="B156" s="36">
        <v>43560</v>
      </c>
      <c r="C156" s="36">
        <v>43581.5</v>
      </c>
      <c r="D156" s="36">
        <v>43587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</row>
    <row r="157" spans="1:119" x14ac:dyDescent="0.2">
      <c r="A157" t="s">
        <v>152</v>
      </c>
      <c r="B157" s="36">
        <v>43567</v>
      </c>
      <c r="C157" s="36">
        <v>43576</v>
      </c>
      <c r="D157" s="36">
        <v>43580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</row>
    <row r="158" spans="1:119" x14ac:dyDescent="0.2">
      <c r="A158" t="s">
        <v>153</v>
      </c>
      <c r="B158" s="36" t="s">
        <v>393</v>
      </c>
      <c r="C158" s="36" t="s">
        <v>393</v>
      </c>
      <c r="D158" s="36" t="s">
        <v>393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</row>
    <row r="159" spans="1:119" x14ac:dyDescent="0.2">
      <c r="A159" t="s">
        <v>154</v>
      </c>
      <c r="B159" s="36">
        <v>43582</v>
      </c>
      <c r="C159" s="36">
        <v>43591</v>
      </c>
      <c r="D159" s="36">
        <v>43632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</row>
    <row r="160" spans="1:119" x14ac:dyDescent="0.2">
      <c r="A160" t="s">
        <v>155</v>
      </c>
      <c r="B160" s="36">
        <v>43572</v>
      </c>
      <c r="C160" s="36">
        <v>43580</v>
      </c>
      <c r="D160" s="36">
        <v>43585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</row>
    <row r="161" spans="1:119" x14ac:dyDescent="0.2">
      <c r="A161" t="s">
        <v>156</v>
      </c>
      <c r="B161" s="36">
        <v>43560</v>
      </c>
      <c r="C161" s="36">
        <v>43574</v>
      </c>
      <c r="D161" s="36">
        <v>43576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</row>
    <row r="162" spans="1:119" x14ac:dyDescent="0.2">
      <c r="A162" t="s">
        <v>157</v>
      </c>
      <c r="B162" s="36">
        <v>43566</v>
      </c>
      <c r="C162" s="36">
        <v>43583</v>
      </c>
      <c r="D162" s="36">
        <v>43591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</row>
    <row r="163" spans="1:119" x14ac:dyDescent="0.2">
      <c r="A163" t="s">
        <v>158</v>
      </c>
      <c r="B163" s="36">
        <v>43598</v>
      </c>
      <c r="C163" s="36">
        <v>43598</v>
      </c>
      <c r="D163" s="36">
        <v>43598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</row>
    <row r="164" spans="1:119" x14ac:dyDescent="0.2">
      <c r="A164" t="s">
        <v>159</v>
      </c>
      <c r="B164" s="36">
        <v>43550</v>
      </c>
      <c r="C164" s="36">
        <v>43562.5</v>
      </c>
      <c r="D164" s="36">
        <v>43573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</row>
    <row r="165" spans="1:119" x14ac:dyDescent="0.2">
      <c r="A165" t="s">
        <v>160</v>
      </c>
      <c r="B165" s="36">
        <v>43551</v>
      </c>
      <c r="C165" s="36">
        <v>43561.5</v>
      </c>
      <c r="D165" s="36">
        <v>43571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</row>
    <row r="166" spans="1:119" x14ac:dyDescent="0.2">
      <c r="A166" t="s">
        <v>161</v>
      </c>
      <c r="B166" s="36">
        <v>43582</v>
      </c>
      <c r="C166" s="36">
        <v>43715.5</v>
      </c>
      <c r="D166" s="36">
        <v>43741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</row>
    <row r="167" spans="1:119" x14ac:dyDescent="0.2">
      <c r="A167" t="s">
        <v>387</v>
      </c>
      <c r="B167" s="36" t="s">
        <v>393</v>
      </c>
      <c r="C167" s="36" t="s">
        <v>393</v>
      </c>
      <c r="D167" s="36" t="s">
        <v>393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</row>
    <row r="168" spans="1:119" x14ac:dyDescent="0.2">
      <c r="A168" t="s">
        <v>162</v>
      </c>
      <c r="B168" s="36" t="s">
        <v>393</v>
      </c>
      <c r="C168" s="36" t="s">
        <v>393</v>
      </c>
      <c r="D168" s="36" t="s">
        <v>393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</row>
    <row r="169" spans="1:119" x14ac:dyDescent="0.2">
      <c r="A169" t="s">
        <v>163</v>
      </c>
      <c r="B169" s="36">
        <v>43592</v>
      </c>
      <c r="C169" s="36">
        <v>43607</v>
      </c>
      <c r="D169" s="36">
        <v>43774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</row>
    <row r="170" spans="1:119" x14ac:dyDescent="0.2">
      <c r="A170" t="s">
        <v>164</v>
      </c>
      <c r="B170" s="36">
        <v>43575</v>
      </c>
      <c r="C170" s="36">
        <v>43584.5</v>
      </c>
      <c r="D170" s="36">
        <v>43593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</row>
    <row r="171" spans="1:119" x14ac:dyDescent="0.2">
      <c r="A171" t="s">
        <v>165</v>
      </c>
      <c r="B171" s="36">
        <v>43596</v>
      </c>
      <c r="C171" s="36">
        <v>43602.5</v>
      </c>
      <c r="D171" s="36">
        <v>43608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</row>
    <row r="172" spans="1:119" x14ac:dyDescent="0.2">
      <c r="A172" t="s">
        <v>166</v>
      </c>
      <c r="B172" s="36" t="s">
        <v>393</v>
      </c>
      <c r="C172" s="36" t="s">
        <v>393</v>
      </c>
      <c r="D172" s="36" t="s">
        <v>393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</row>
    <row r="173" spans="1:119" x14ac:dyDescent="0.2">
      <c r="A173" t="s">
        <v>167</v>
      </c>
      <c r="B173" s="36">
        <v>43476</v>
      </c>
      <c r="C173" s="36">
        <v>43476</v>
      </c>
      <c r="D173" s="36">
        <v>43476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</row>
    <row r="174" spans="1:119" x14ac:dyDescent="0.2">
      <c r="A174" t="s">
        <v>168</v>
      </c>
      <c r="B174" s="36">
        <v>43583</v>
      </c>
      <c r="C174" s="36">
        <v>43605.5</v>
      </c>
      <c r="D174" s="36">
        <v>43616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</row>
    <row r="175" spans="1:119" x14ac:dyDescent="0.2">
      <c r="A175" t="s">
        <v>169</v>
      </c>
      <c r="B175" s="36">
        <v>43576</v>
      </c>
      <c r="C175" s="36">
        <v>43590.5</v>
      </c>
      <c r="D175" s="36">
        <v>43610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</row>
    <row r="176" spans="1:119" x14ac:dyDescent="0.2">
      <c r="A176" t="s">
        <v>170</v>
      </c>
      <c r="B176" s="36">
        <v>43512</v>
      </c>
      <c r="C176" s="36">
        <v>43676.5</v>
      </c>
      <c r="D176" s="36">
        <v>43784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</row>
    <row r="177" spans="1:119" x14ac:dyDescent="0.2">
      <c r="A177" t="s">
        <v>171</v>
      </c>
      <c r="B177" s="36">
        <v>43591</v>
      </c>
      <c r="C177" s="36">
        <v>43605.5</v>
      </c>
      <c r="D177" s="36">
        <v>43750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</row>
    <row r="178" spans="1:119" x14ac:dyDescent="0.2">
      <c r="A178" t="s">
        <v>172</v>
      </c>
      <c r="B178" s="36" t="s">
        <v>393</v>
      </c>
      <c r="C178" s="36" t="s">
        <v>393</v>
      </c>
      <c r="D178" s="36" t="s">
        <v>393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</row>
    <row r="179" spans="1:119" x14ac:dyDescent="0.2">
      <c r="A179" t="s">
        <v>173</v>
      </c>
      <c r="B179" s="36">
        <v>43587</v>
      </c>
      <c r="C179" s="36">
        <v>43593.5</v>
      </c>
      <c r="D179" s="36">
        <v>43597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</row>
    <row r="180" spans="1:119" x14ac:dyDescent="0.2">
      <c r="A180" t="s">
        <v>174</v>
      </c>
      <c r="B180" s="36">
        <v>43599</v>
      </c>
      <c r="C180" s="36">
        <v>43605</v>
      </c>
      <c r="D180" s="36">
        <v>43680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</row>
    <row r="181" spans="1:119" x14ac:dyDescent="0.2">
      <c r="A181" t="s">
        <v>175</v>
      </c>
      <c r="B181" s="36">
        <v>43560</v>
      </c>
      <c r="C181" s="36">
        <v>43574.5</v>
      </c>
      <c r="D181" s="36">
        <v>43581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</row>
    <row r="182" spans="1:119" x14ac:dyDescent="0.2">
      <c r="A182" t="s">
        <v>176</v>
      </c>
      <c r="B182" s="36">
        <v>43608</v>
      </c>
      <c r="C182" s="36">
        <v>43608</v>
      </c>
      <c r="D182" s="36">
        <v>43608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</row>
    <row r="183" spans="1:119" x14ac:dyDescent="0.2">
      <c r="A183" t="s">
        <v>177</v>
      </c>
      <c r="B183" s="36">
        <v>43597</v>
      </c>
      <c r="C183" s="36">
        <v>43609</v>
      </c>
      <c r="D183" s="36">
        <v>43666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</row>
    <row r="184" spans="1:119" x14ac:dyDescent="0.2">
      <c r="A184" t="s">
        <v>178</v>
      </c>
      <c r="B184" s="36">
        <v>43607</v>
      </c>
      <c r="C184" s="36">
        <v>43616.5</v>
      </c>
      <c r="D184" s="36">
        <v>43626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</row>
    <row r="185" spans="1:119" x14ac:dyDescent="0.2">
      <c r="A185" t="s">
        <v>179</v>
      </c>
      <c r="B185" s="36">
        <v>43588</v>
      </c>
      <c r="C185" s="36">
        <v>43623</v>
      </c>
      <c r="D185" s="36">
        <v>43693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</row>
    <row r="186" spans="1:119" x14ac:dyDescent="0.2">
      <c r="A186" t="s">
        <v>180</v>
      </c>
      <c r="B186" s="36">
        <v>43580</v>
      </c>
      <c r="C186" s="36">
        <v>43583</v>
      </c>
      <c r="D186" s="36">
        <v>43589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</row>
    <row r="187" spans="1:119" x14ac:dyDescent="0.2">
      <c r="A187" t="s">
        <v>181</v>
      </c>
      <c r="B187" s="36">
        <v>43575</v>
      </c>
      <c r="C187" s="36">
        <v>43588</v>
      </c>
      <c r="D187" s="36">
        <v>43593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</row>
    <row r="188" spans="1:119" x14ac:dyDescent="0.2">
      <c r="A188" t="s">
        <v>182</v>
      </c>
      <c r="B188" s="36">
        <v>43576</v>
      </c>
      <c r="C188" s="36">
        <v>43583</v>
      </c>
      <c r="D188" s="36">
        <v>43588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</row>
    <row r="189" spans="1:119" x14ac:dyDescent="0.2">
      <c r="A189" t="s">
        <v>183</v>
      </c>
      <c r="B189" s="36" t="s">
        <v>393</v>
      </c>
      <c r="C189" s="36" t="s">
        <v>393</v>
      </c>
      <c r="D189" s="36" t="s">
        <v>393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</row>
    <row r="190" spans="1:119" x14ac:dyDescent="0.2">
      <c r="A190" t="s">
        <v>184</v>
      </c>
      <c r="B190" s="36">
        <v>43759</v>
      </c>
      <c r="C190" s="36">
        <v>43782</v>
      </c>
      <c r="D190" s="36">
        <v>43787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</row>
    <row r="191" spans="1:119" x14ac:dyDescent="0.2">
      <c r="A191" t="s">
        <v>185</v>
      </c>
      <c r="B191" s="36">
        <v>43576</v>
      </c>
      <c r="C191" s="36">
        <v>43750</v>
      </c>
      <c r="D191" s="36">
        <v>43773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</row>
    <row r="192" spans="1:119" x14ac:dyDescent="0.2">
      <c r="A192" t="s">
        <v>186</v>
      </c>
      <c r="B192" s="36">
        <v>43530</v>
      </c>
      <c r="C192" s="36">
        <v>43557.5</v>
      </c>
      <c r="D192" s="36">
        <v>43567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</row>
    <row r="193" spans="1:119" x14ac:dyDescent="0.2">
      <c r="A193" t="s">
        <v>187</v>
      </c>
      <c r="B193" s="36" t="s">
        <v>393</v>
      </c>
      <c r="C193" s="36" t="s">
        <v>393</v>
      </c>
      <c r="D193" s="36" t="s">
        <v>393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</row>
    <row r="194" spans="1:119" x14ac:dyDescent="0.2">
      <c r="A194" t="s">
        <v>188</v>
      </c>
      <c r="B194" s="36">
        <v>43760</v>
      </c>
      <c r="C194" s="36">
        <v>43760</v>
      </c>
      <c r="D194" s="36">
        <v>43760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</row>
    <row r="195" spans="1:119" x14ac:dyDescent="0.2">
      <c r="A195" t="s">
        <v>189</v>
      </c>
      <c r="B195" s="36">
        <v>43473</v>
      </c>
      <c r="C195" s="36">
        <v>43473</v>
      </c>
      <c r="D195" s="36">
        <v>43473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</row>
    <row r="196" spans="1:119" x14ac:dyDescent="0.2">
      <c r="A196" t="s">
        <v>190</v>
      </c>
      <c r="B196" s="36">
        <v>43526</v>
      </c>
      <c r="C196" s="36">
        <v>43555</v>
      </c>
      <c r="D196" s="36">
        <v>43568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</row>
    <row r="197" spans="1:119" x14ac:dyDescent="0.2">
      <c r="A197" t="s">
        <v>191</v>
      </c>
      <c r="B197" s="36">
        <v>43542</v>
      </c>
      <c r="C197" s="36">
        <v>43561</v>
      </c>
      <c r="D197" s="36">
        <v>43570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</row>
    <row r="198" spans="1:119" x14ac:dyDescent="0.2">
      <c r="A198" t="s">
        <v>192</v>
      </c>
      <c r="B198" s="36">
        <v>43466</v>
      </c>
      <c r="C198" s="36">
        <v>43527</v>
      </c>
      <c r="D198" s="36">
        <v>43552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</row>
    <row r="199" spans="1:119" x14ac:dyDescent="0.2">
      <c r="A199" t="s">
        <v>193</v>
      </c>
      <c r="B199" s="36">
        <v>43619</v>
      </c>
      <c r="C199" s="36">
        <v>43713</v>
      </c>
      <c r="D199" s="36">
        <v>43757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</row>
    <row r="200" spans="1:119" x14ac:dyDescent="0.2">
      <c r="A200" t="s">
        <v>194</v>
      </c>
      <c r="B200" s="36">
        <v>43591</v>
      </c>
      <c r="C200" s="36">
        <v>43603</v>
      </c>
      <c r="D200" s="36">
        <v>43766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</row>
    <row r="201" spans="1:119" x14ac:dyDescent="0.2">
      <c r="A201" t="s">
        <v>195</v>
      </c>
      <c r="B201" s="36">
        <v>43466</v>
      </c>
      <c r="C201" s="36">
        <v>43470.5</v>
      </c>
      <c r="D201" s="36">
        <v>43555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</row>
    <row r="202" spans="1:119" x14ac:dyDescent="0.2">
      <c r="A202" t="s">
        <v>196</v>
      </c>
      <c r="B202" s="36">
        <v>43466</v>
      </c>
      <c r="C202" s="36">
        <v>43529</v>
      </c>
      <c r="D202" s="36">
        <v>43553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</row>
    <row r="203" spans="1:119" x14ac:dyDescent="0.2">
      <c r="A203" t="s">
        <v>197</v>
      </c>
      <c r="B203" s="36">
        <v>43466</v>
      </c>
      <c r="C203" s="36">
        <v>43466</v>
      </c>
      <c r="D203" s="36">
        <v>43466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</row>
    <row r="204" spans="1:119" x14ac:dyDescent="0.2">
      <c r="A204" t="s">
        <v>198</v>
      </c>
      <c r="B204" s="36">
        <v>43525</v>
      </c>
      <c r="C204" s="36">
        <v>43539.5</v>
      </c>
      <c r="D204" s="36">
        <v>43555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</row>
    <row r="205" spans="1:119" x14ac:dyDescent="0.2">
      <c r="A205" t="s">
        <v>199</v>
      </c>
      <c r="B205" s="36">
        <v>43530</v>
      </c>
      <c r="C205" s="36">
        <v>43544</v>
      </c>
      <c r="D205" s="36">
        <v>43550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</row>
    <row r="206" spans="1:119" x14ac:dyDescent="0.2">
      <c r="A206" t="s">
        <v>200</v>
      </c>
      <c r="B206" s="36">
        <v>43466</v>
      </c>
      <c r="C206" s="36">
        <v>43466</v>
      </c>
      <c r="D206" s="36">
        <v>43476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</row>
    <row r="207" spans="1:119" x14ac:dyDescent="0.2">
      <c r="A207" t="s">
        <v>201</v>
      </c>
      <c r="B207" s="36">
        <v>43576</v>
      </c>
      <c r="C207" s="36">
        <v>43676</v>
      </c>
      <c r="D207" s="36">
        <v>43756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</row>
    <row r="208" spans="1:119" x14ac:dyDescent="0.2">
      <c r="A208" t="s">
        <v>202</v>
      </c>
      <c r="B208" s="36">
        <v>43707</v>
      </c>
      <c r="C208" s="36">
        <v>43774</v>
      </c>
      <c r="D208" s="36">
        <v>43793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</row>
    <row r="209" spans="1:119" x14ac:dyDescent="0.2">
      <c r="A209" t="s">
        <v>203</v>
      </c>
      <c r="B209" s="36">
        <v>43582</v>
      </c>
      <c r="C209" s="36">
        <v>43593</v>
      </c>
      <c r="D209" s="36">
        <v>43603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</row>
    <row r="210" spans="1:119" x14ac:dyDescent="0.2">
      <c r="A210" t="s">
        <v>204</v>
      </c>
      <c r="B210" s="36">
        <v>43772</v>
      </c>
      <c r="C210" s="36">
        <v>43772</v>
      </c>
      <c r="D210" s="36">
        <v>43772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</row>
    <row r="211" spans="1:119" x14ac:dyDescent="0.2">
      <c r="A211" t="s">
        <v>205</v>
      </c>
      <c r="B211" s="36">
        <v>43466</v>
      </c>
      <c r="C211" s="36">
        <v>43466</v>
      </c>
      <c r="D211" s="36">
        <v>43471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</row>
    <row r="212" spans="1:119" x14ac:dyDescent="0.2">
      <c r="A212" t="s">
        <v>206</v>
      </c>
      <c r="B212" s="36">
        <v>43466</v>
      </c>
      <c r="C212" s="36">
        <v>43516.5</v>
      </c>
      <c r="D212" s="36">
        <v>43784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</row>
    <row r="213" spans="1:119" x14ac:dyDescent="0.2">
      <c r="A213" t="s">
        <v>207</v>
      </c>
      <c r="B213" s="36">
        <v>43466</v>
      </c>
      <c r="C213" s="36">
        <v>43467</v>
      </c>
      <c r="D213" s="36">
        <v>43541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</row>
    <row r="214" spans="1:119" x14ac:dyDescent="0.2">
      <c r="A214" t="s">
        <v>208</v>
      </c>
      <c r="B214" s="36">
        <v>43466</v>
      </c>
      <c r="C214" s="36">
        <v>43466</v>
      </c>
      <c r="D214" s="36">
        <v>43469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</row>
    <row r="215" spans="1:119" x14ac:dyDescent="0.2">
      <c r="A215" t="s">
        <v>209</v>
      </c>
      <c r="B215" s="36" t="s">
        <v>393</v>
      </c>
      <c r="C215" s="36" t="s">
        <v>393</v>
      </c>
      <c r="D215" s="36" t="s">
        <v>393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</row>
    <row r="216" spans="1:119" x14ac:dyDescent="0.2">
      <c r="A216" t="s">
        <v>210</v>
      </c>
      <c r="B216" s="36">
        <v>43562</v>
      </c>
      <c r="C216" s="36">
        <v>43647</v>
      </c>
      <c r="D216" s="36">
        <v>43694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</row>
    <row r="217" spans="1:119" x14ac:dyDescent="0.2">
      <c r="A217" t="s">
        <v>211</v>
      </c>
      <c r="B217" s="36">
        <v>43466</v>
      </c>
      <c r="C217" s="36">
        <v>43473</v>
      </c>
      <c r="D217" s="36">
        <v>43502</v>
      </c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</row>
    <row r="218" spans="1:119" x14ac:dyDescent="0.2">
      <c r="A218" t="s">
        <v>212</v>
      </c>
      <c r="B218" s="36">
        <v>43466</v>
      </c>
      <c r="C218" s="36">
        <v>43473.5</v>
      </c>
      <c r="D218" s="36">
        <v>43512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</row>
    <row r="219" spans="1:119" x14ac:dyDescent="0.2">
      <c r="A219" t="s">
        <v>213</v>
      </c>
      <c r="B219" s="36">
        <v>43481</v>
      </c>
      <c r="C219" s="36">
        <v>43532</v>
      </c>
      <c r="D219" s="36">
        <v>43565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</row>
    <row r="220" spans="1:119" x14ac:dyDescent="0.2">
      <c r="A220" t="s">
        <v>214</v>
      </c>
      <c r="B220" s="36">
        <v>43535</v>
      </c>
      <c r="C220" s="36">
        <v>43563</v>
      </c>
      <c r="D220" s="36">
        <v>43583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</row>
    <row r="221" spans="1:119" x14ac:dyDescent="0.2">
      <c r="A221" t="s">
        <v>215</v>
      </c>
      <c r="B221" s="36">
        <v>43466</v>
      </c>
      <c r="C221" s="36">
        <v>43470</v>
      </c>
      <c r="D221" s="36">
        <v>43478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</row>
    <row r="222" spans="1:119" x14ac:dyDescent="0.2">
      <c r="A222" t="s">
        <v>216</v>
      </c>
      <c r="B222" s="36">
        <v>43599</v>
      </c>
      <c r="C222" s="36">
        <v>43611</v>
      </c>
      <c r="D222" s="36">
        <v>43736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</row>
    <row r="223" spans="1:119" x14ac:dyDescent="0.2">
      <c r="A223" t="s">
        <v>217</v>
      </c>
      <c r="B223" s="36">
        <v>43582</v>
      </c>
      <c r="C223" s="36">
        <v>43597</v>
      </c>
      <c r="D223" s="36">
        <v>43605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</row>
    <row r="224" spans="1:119" x14ac:dyDescent="0.2">
      <c r="A224" t="s">
        <v>218</v>
      </c>
      <c r="B224" s="36" t="s">
        <v>393</v>
      </c>
      <c r="C224" s="36" t="s">
        <v>393</v>
      </c>
      <c r="D224" s="36" t="s">
        <v>393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</row>
    <row r="225" spans="1:119" x14ac:dyDescent="0.2">
      <c r="A225" t="s">
        <v>219</v>
      </c>
      <c r="B225" s="36">
        <v>43584</v>
      </c>
      <c r="C225" s="36">
        <v>43598</v>
      </c>
      <c r="D225" s="36">
        <v>43667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</row>
    <row r="226" spans="1:119" x14ac:dyDescent="0.2">
      <c r="A226" t="s">
        <v>220</v>
      </c>
      <c r="B226" s="36">
        <v>43587</v>
      </c>
      <c r="C226" s="36">
        <v>43611</v>
      </c>
      <c r="D226" s="36">
        <v>43641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</row>
    <row r="227" spans="1:119" x14ac:dyDescent="0.2">
      <c r="A227" t="s">
        <v>221</v>
      </c>
      <c r="B227" s="36">
        <v>43617</v>
      </c>
      <c r="C227" s="36">
        <v>43673</v>
      </c>
      <c r="D227" s="36">
        <v>43729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</row>
    <row r="228" spans="1:119" x14ac:dyDescent="0.2">
      <c r="A228" t="s">
        <v>222</v>
      </c>
      <c r="B228" s="36">
        <v>43578</v>
      </c>
      <c r="C228" s="36">
        <v>43686.5</v>
      </c>
      <c r="D228" s="36">
        <v>43763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</row>
    <row r="229" spans="1:119" x14ac:dyDescent="0.2">
      <c r="A229" t="s">
        <v>223</v>
      </c>
      <c r="B229" s="36">
        <v>43573</v>
      </c>
      <c r="C229" s="36">
        <v>43583</v>
      </c>
      <c r="D229" s="36">
        <v>43597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</row>
    <row r="230" spans="1:119" x14ac:dyDescent="0.2">
      <c r="A230" t="s">
        <v>224</v>
      </c>
      <c r="B230" s="36">
        <v>43466</v>
      </c>
      <c r="C230" s="36">
        <v>43466</v>
      </c>
      <c r="D230" s="36">
        <v>43546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</row>
    <row r="231" spans="1:119" x14ac:dyDescent="0.2">
      <c r="A231" t="s">
        <v>225</v>
      </c>
      <c r="B231" s="36">
        <v>43466</v>
      </c>
      <c r="C231" s="36">
        <v>43466</v>
      </c>
      <c r="D231" s="36">
        <v>43471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</row>
    <row r="232" spans="1:119" x14ac:dyDescent="0.2">
      <c r="A232" t="s">
        <v>226</v>
      </c>
      <c r="B232" s="36">
        <v>43466</v>
      </c>
      <c r="C232" s="36">
        <v>43466</v>
      </c>
      <c r="D232" s="36">
        <v>43466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</row>
    <row r="233" spans="1:119" x14ac:dyDescent="0.2">
      <c r="A233" t="s">
        <v>227</v>
      </c>
      <c r="B233" s="36">
        <v>43466</v>
      </c>
      <c r="C233" s="36">
        <v>43471</v>
      </c>
      <c r="D233" s="36">
        <v>43747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</row>
    <row r="234" spans="1:119" x14ac:dyDescent="0.2">
      <c r="A234" t="s">
        <v>228</v>
      </c>
      <c r="B234" s="36">
        <v>43466</v>
      </c>
      <c r="C234" s="36">
        <v>43467</v>
      </c>
      <c r="D234" s="36">
        <v>43492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</row>
    <row r="235" spans="1:119" x14ac:dyDescent="0.2">
      <c r="A235" t="s">
        <v>229</v>
      </c>
      <c r="B235" s="36">
        <v>43466</v>
      </c>
      <c r="C235" s="36">
        <v>43466</v>
      </c>
      <c r="D235" s="36">
        <v>43482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</row>
    <row r="236" spans="1:119" x14ac:dyDescent="0.2">
      <c r="A236" t="s">
        <v>230</v>
      </c>
      <c r="B236" s="36" t="s">
        <v>393</v>
      </c>
      <c r="C236" s="36" t="s">
        <v>393</v>
      </c>
      <c r="D236" s="36" t="s">
        <v>393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</row>
    <row r="237" spans="1:119" x14ac:dyDescent="0.2">
      <c r="A237" t="s">
        <v>231</v>
      </c>
      <c r="B237" s="36">
        <v>43602</v>
      </c>
      <c r="C237" s="36">
        <v>43617</v>
      </c>
      <c r="D237" s="36">
        <v>43742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</row>
    <row r="238" spans="1:119" x14ac:dyDescent="0.2">
      <c r="A238" t="s">
        <v>232</v>
      </c>
      <c r="B238" s="36">
        <v>43733</v>
      </c>
      <c r="C238" s="36">
        <v>43733</v>
      </c>
      <c r="D238" s="36">
        <v>43733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</row>
    <row r="239" spans="1:119" x14ac:dyDescent="0.2">
      <c r="A239" t="s">
        <v>233</v>
      </c>
      <c r="B239" s="36">
        <v>43474</v>
      </c>
      <c r="C239" s="36">
        <v>43474</v>
      </c>
      <c r="D239" s="36">
        <v>43474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</row>
    <row r="240" spans="1:119" x14ac:dyDescent="0.2">
      <c r="A240" t="s">
        <v>234</v>
      </c>
      <c r="B240" s="36">
        <v>43538</v>
      </c>
      <c r="C240" s="36">
        <v>43560</v>
      </c>
      <c r="D240" s="36">
        <v>43573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</row>
    <row r="241" spans="1:119" x14ac:dyDescent="0.2">
      <c r="A241" t="s">
        <v>235</v>
      </c>
      <c r="B241" s="36">
        <v>43533</v>
      </c>
      <c r="C241" s="36">
        <v>43544.5</v>
      </c>
      <c r="D241" s="36">
        <v>43560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</row>
    <row r="242" spans="1:119" x14ac:dyDescent="0.2">
      <c r="A242" t="s">
        <v>236</v>
      </c>
      <c r="B242" s="36">
        <v>43530</v>
      </c>
      <c r="C242" s="36">
        <v>43567.5</v>
      </c>
      <c r="D242" s="36">
        <v>43745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</row>
    <row r="243" spans="1:119" x14ac:dyDescent="0.2">
      <c r="A243" t="s">
        <v>237</v>
      </c>
      <c r="B243" s="36">
        <v>43580</v>
      </c>
      <c r="C243" s="36">
        <v>43590</v>
      </c>
      <c r="D243" s="36">
        <v>43596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</row>
    <row r="244" spans="1:119" x14ac:dyDescent="0.2">
      <c r="A244" t="s">
        <v>238</v>
      </c>
      <c r="B244" s="36">
        <v>43570</v>
      </c>
      <c r="C244" s="36">
        <v>43575.5</v>
      </c>
      <c r="D244" s="36">
        <v>43586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</row>
    <row r="245" spans="1:119" x14ac:dyDescent="0.2">
      <c r="A245" t="s">
        <v>239</v>
      </c>
      <c r="B245" s="36">
        <v>43575</v>
      </c>
      <c r="C245" s="36">
        <v>43584</v>
      </c>
      <c r="D245" s="36">
        <v>43590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</row>
    <row r="246" spans="1:119" x14ac:dyDescent="0.2">
      <c r="A246" t="s">
        <v>240</v>
      </c>
      <c r="B246" s="36">
        <v>43594</v>
      </c>
      <c r="C246" s="36">
        <v>43604</v>
      </c>
      <c r="D246" s="36">
        <v>43612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</row>
    <row r="247" spans="1:119" x14ac:dyDescent="0.2">
      <c r="A247" t="s">
        <v>241</v>
      </c>
      <c r="B247" s="36">
        <v>43713</v>
      </c>
      <c r="C247" s="36">
        <v>43720</v>
      </c>
      <c r="D247" s="36">
        <v>43733</v>
      </c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</row>
    <row r="248" spans="1:119" x14ac:dyDescent="0.2">
      <c r="A248" t="s">
        <v>242</v>
      </c>
      <c r="B248" s="36">
        <v>43773</v>
      </c>
      <c r="C248" s="36">
        <v>43777.5</v>
      </c>
      <c r="D248" s="36">
        <v>43782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</row>
    <row r="249" spans="1:119" x14ac:dyDescent="0.2">
      <c r="A249" t="s">
        <v>243</v>
      </c>
      <c r="B249" s="36" t="s">
        <v>393</v>
      </c>
      <c r="C249" s="36" t="s">
        <v>393</v>
      </c>
      <c r="D249" s="36" t="s">
        <v>393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</row>
    <row r="250" spans="1:119" x14ac:dyDescent="0.2">
      <c r="A250" t="s">
        <v>244</v>
      </c>
      <c r="B250" s="36" t="s">
        <v>393</v>
      </c>
      <c r="C250" s="36" t="s">
        <v>393</v>
      </c>
      <c r="D250" s="36" t="s">
        <v>393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</row>
    <row r="251" spans="1:119" x14ac:dyDescent="0.2">
      <c r="A251" t="s">
        <v>246</v>
      </c>
      <c r="B251" s="36">
        <v>43717</v>
      </c>
      <c r="C251" s="36">
        <v>43738</v>
      </c>
      <c r="D251" s="36">
        <v>43748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</row>
    <row r="252" spans="1:119" x14ac:dyDescent="0.2">
      <c r="A252" t="s">
        <v>247</v>
      </c>
      <c r="B252" s="36">
        <v>43570</v>
      </c>
      <c r="C252" s="36">
        <v>43576.5</v>
      </c>
      <c r="D252" s="36">
        <v>43587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</row>
    <row r="253" spans="1:119" x14ac:dyDescent="0.2">
      <c r="A253" t="s">
        <v>248</v>
      </c>
      <c r="B253" s="36">
        <v>43549</v>
      </c>
      <c r="C253" s="36">
        <v>43559.5</v>
      </c>
      <c r="D253" s="36">
        <v>43571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</row>
    <row r="254" spans="1:119" x14ac:dyDescent="0.2">
      <c r="A254" t="s">
        <v>249</v>
      </c>
      <c r="B254" s="36">
        <v>43591</v>
      </c>
      <c r="C254" s="36">
        <v>43597</v>
      </c>
      <c r="D254" s="36">
        <v>43604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</row>
    <row r="255" spans="1:119" x14ac:dyDescent="0.2">
      <c r="A255" t="s">
        <v>250</v>
      </c>
      <c r="B255" s="36">
        <v>43551</v>
      </c>
      <c r="C255" s="36">
        <v>43561.5</v>
      </c>
      <c r="D255" s="36">
        <v>43599</v>
      </c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</row>
    <row r="256" spans="1:119" x14ac:dyDescent="0.2">
      <c r="A256" t="s">
        <v>251</v>
      </c>
      <c r="B256" s="36">
        <v>43577</v>
      </c>
      <c r="C256" s="36">
        <v>43583.5</v>
      </c>
      <c r="D256" s="36">
        <v>43589</v>
      </c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</row>
    <row r="257" spans="1:119" x14ac:dyDescent="0.2">
      <c r="A257" t="s">
        <v>252</v>
      </c>
      <c r="B257" s="36">
        <v>43578</v>
      </c>
      <c r="C257" s="36">
        <v>43600</v>
      </c>
      <c r="D257" s="36">
        <v>43720</v>
      </c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</row>
    <row r="258" spans="1:119" x14ac:dyDescent="0.2">
      <c r="A258" t="s">
        <v>253</v>
      </c>
      <c r="B258" s="36">
        <v>43568</v>
      </c>
      <c r="C258" s="36">
        <v>43606.5</v>
      </c>
      <c r="D258" s="36">
        <v>43726</v>
      </c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</row>
    <row r="259" spans="1:119" x14ac:dyDescent="0.2">
      <c r="A259" t="s">
        <v>254</v>
      </c>
      <c r="B259" s="36">
        <v>43537</v>
      </c>
      <c r="C259" s="36">
        <v>43559.5</v>
      </c>
      <c r="D259" s="36">
        <v>43569</v>
      </c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</row>
    <row r="260" spans="1:119" x14ac:dyDescent="0.2">
      <c r="A260" t="s">
        <v>255</v>
      </c>
      <c r="B260" s="36">
        <v>43466</v>
      </c>
      <c r="C260" s="36">
        <v>43466</v>
      </c>
      <c r="D260" s="36">
        <v>43485</v>
      </c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</row>
    <row r="261" spans="1:119" x14ac:dyDescent="0.2">
      <c r="A261" t="s">
        <v>256</v>
      </c>
      <c r="B261" s="36">
        <v>43466</v>
      </c>
      <c r="C261" s="36">
        <v>43466</v>
      </c>
      <c r="D261" s="36">
        <v>43470</v>
      </c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</row>
    <row r="262" spans="1:119" x14ac:dyDescent="0.2">
      <c r="A262" t="s">
        <v>257</v>
      </c>
      <c r="B262" s="36">
        <v>43555</v>
      </c>
      <c r="C262" s="36">
        <v>43565</v>
      </c>
      <c r="D262" s="36">
        <v>43591</v>
      </c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</row>
    <row r="263" spans="1:119" x14ac:dyDescent="0.2">
      <c r="A263" t="s">
        <v>258</v>
      </c>
      <c r="B263" s="36">
        <v>43549</v>
      </c>
      <c r="C263" s="36">
        <v>43564.5</v>
      </c>
      <c r="D263" s="36">
        <v>43573</v>
      </c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</row>
    <row r="264" spans="1:119" x14ac:dyDescent="0.2">
      <c r="A264" t="s">
        <v>259</v>
      </c>
      <c r="B264" s="36">
        <v>43767</v>
      </c>
      <c r="C264" s="36">
        <v>43767</v>
      </c>
      <c r="D264" s="36">
        <v>43767</v>
      </c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</row>
    <row r="265" spans="1:119" x14ac:dyDescent="0.2">
      <c r="A265" t="s">
        <v>260</v>
      </c>
      <c r="B265" s="36">
        <v>43466</v>
      </c>
      <c r="C265" s="36">
        <v>43636.5</v>
      </c>
      <c r="D265" s="36">
        <v>43807</v>
      </c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</row>
    <row r="266" spans="1:119" x14ac:dyDescent="0.2">
      <c r="A266" t="s">
        <v>261</v>
      </c>
      <c r="B266" s="36">
        <v>43536</v>
      </c>
      <c r="C266" s="36">
        <v>43560.5</v>
      </c>
      <c r="D266" s="36">
        <v>43571</v>
      </c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</row>
    <row r="267" spans="1:119" x14ac:dyDescent="0.2">
      <c r="A267" t="s">
        <v>262</v>
      </c>
      <c r="B267" s="36">
        <v>43596</v>
      </c>
      <c r="C267" s="36">
        <v>43605.5</v>
      </c>
      <c r="D267" s="36">
        <v>43620</v>
      </c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</row>
    <row r="268" spans="1:119" x14ac:dyDescent="0.2">
      <c r="A268" t="s">
        <v>263</v>
      </c>
      <c r="B268" s="36">
        <v>43742</v>
      </c>
      <c r="C268" s="36">
        <v>43742</v>
      </c>
      <c r="D268" s="36">
        <v>43742</v>
      </c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</row>
    <row r="269" spans="1:119" x14ac:dyDescent="0.2">
      <c r="A269" t="s">
        <v>264</v>
      </c>
      <c r="B269" s="36">
        <v>43586</v>
      </c>
      <c r="C269" s="36">
        <v>43592</v>
      </c>
      <c r="D269" s="36">
        <v>43601</v>
      </c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</row>
    <row r="270" spans="1:119" x14ac:dyDescent="0.2">
      <c r="A270" t="s">
        <v>265</v>
      </c>
      <c r="B270" s="36">
        <v>43719</v>
      </c>
      <c r="C270" s="36">
        <v>43743.5</v>
      </c>
      <c r="D270" s="36">
        <v>43768</v>
      </c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</row>
    <row r="271" spans="1:119" x14ac:dyDescent="0.2">
      <c r="A271" t="s">
        <v>266</v>
      </c>
      <c r="B271" s="36">
        <v>43580</v>
      </c>
      <c r="C271" s="36">
        <v>43604</v>
      </c>
      <c r="D271" s="36">
        <v>43661</v>
      </c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</row>
    <row r="272" spans="1:119" x14ac:dyDescent="0.2">
      <c r="A272" t="s">
        <v>267</v>
      </c>
      <c r="B272" s="36">
        <v>43558</v>
      </c>
      <c r="C272" s="36">
        <v>43573</v>
      </c>
      <c r="D272" s="36">
        <v>43610</v>
      </c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</row>
    <row r="273" spans="1:119" x14ac:dyDescent="0.2">
      <c r="A273" t="s">
        <v>268</v>
      </c>
      <c r="B273" s="36">
        <v>43575</v>
      </c>
      <c r="C273" s="36">
        <v>43583</v>
      </c>
      <c r="D273" s="36">
        <v>43591</v>
      </c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</row>
    <row r="274" spans="1:119" x14ac:dyDescent="0.2">
      <c r="A274" t="s">
        <v>269</v>
      </c>
      <c r="B274" s="36">
        <v>43575</v>
      </c>
      <c r="C274" s="36">
        <v>43586</v>
      </c>
      <c r="D274" s="36">
        <v>43591</v>
      </c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</row>
    <row r="275" spans="1:119" x14ac:dyDescent="0.2">
      <c r="A275" t="s">
        <v>270</v>
      </c>
      <c r="B275" s="36">
        <v>43590</v>
      </c>
      <c r="C275" s="36">
        <v>43624</v>
      </c>
      <c r="D275" s="36">
        <v>43743</v>
      </c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</row>
    <row r="276" spans="1:119" x14ac:dyDescent="0.2">
      <c r="A276" t="s">
        <v>271</v>
      </c>
      <c r="B276" s="36">
        <v>43584</v>
      </c>
      <c r="C276" s="36">
        <v>43590</v>
      </c>
      <c r="D276" s="36">
        <v>43667</v>
      </c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</row>
    <row r="277" spans="1:119" x14ac:dyDescent="0.2">
      <c r="A277" t="s">
        <v>272</v>
      </c>
      <c r="B277" s="36">
        <v>43696</v>
      </c>
      <c r="C277" s="36">
        <v>43720</v>
      </c>
      <c r="D277" s="36">
        <v>43744</v>
      </c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</row>
    <row r="278" spans="1:119" x14ac:dyDescent="0.2">
      <c r="A278" t="s">
        <v>273</v>
      </c>
      <c r="B278" s="36">
        <v>43562</v>
      </c>
      <c r="C278" s="36">
        <v>43572</v>
      </c>
      <c r="D278" s="36">
        <v>43580</v>
      </c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</row>
    <row r="279" spans="1:119" x14ac:dyDescent="0.2">
      <c r="A279" t="s">
        <v>274</v>
      </c>
      <c r="B279" s="36">
        <v>43725</v>
      </c>
      <c r="C279" s="36">
        <v>43757.5</v>
      </c>
      <c r="D279" s="36">
        <v>43776</v>
      </c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</row>
    <row r="280" spans="1:119" x14ac:dyDescent="0.2">
      <c r="A280" t="s">
        <v>275</v>
      </c>
      <c r="B280" s="36">
        <v>43600</v>
      </c>
      <c r="C280" s="36">
        <v>43742</v>
      </c>
      <c r="D280" s="36">
        <v>43769</v>
      </c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</row>
    <row r="281" spans="1:119" x14ac:dyDescent="0.2">
      <c r="A281" t="s">
        <v>276</v>
      </c>
      <c r="B281" s="36" t="s">
        <v>393</v>
      </c>
      <c r="C281" s="36" t="s">
        <v>393</v>
      </c>
      <c r="D281" s="36" t="s">
        <v>393</v>
      </c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</row>
    <row r="282" spans="1:119" x14ac:dyDescent="0.2">
      <c r="A282" t="s">
        <v>277</v>
      </c>
      <c r="B282" s="36" t="s">
        <v>393</v>
      </c>
      <c r="C282" s="36" t="s">
        <v>393</v>
      </c>
      <c r="D282" s="36" t="s">
        <v>393</v>
      </c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</row>
    <row r="283" spans="1:119" x14ac:dyDescent="0.2">
      <c r="A283" t="s">
        <v>278</v>
      </c>
      <c r="B283" s="36">
        <v>43552</v>
      </c>
      <c r="C283" s="36">
        <v>43574.5</v>
      </c>
      <c r="D283" s="36">
        <v>43592</v>
      </c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</row>
    <row r="284" spans="1:119" x14ac:dyDescent="0.2">
      <c r="A284" t="s">
        <v>279</v>
      </c>
      <c r="B284" s="36">
        <v>43466</v>
      </c>
      <c r="C284" s="36">
        <v>43499</v>
      </c>
      <c r="D284" s="36">
        <v>43555</v>
      </c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</row>
    <row r="285" spans="1:119" x14ac:dyDescent="0.2">
      <c r="A285" t="s">
        <v>280</v>
      </c>
      <c r="B285" s="36" t="s">
        <v>393</v>
      </c>
      <c r="C285" s="36" t="s">
        <v>393</v>
      </c>
      <c r="D285" s="36" t="s">
        <v>393</v>
      </c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</row>
    <row r="286" spans="1:119" x14ac:dyDescent="0.2">
      <c r="A286" t="s">
        <v>281</v>
      </c>
      <c r="B286" s="36">
        <v>43480</v>
      </c>
      <c r="C286" s="36">
        <v>43653</v>
      </c>
      <c r="D286" s="36">
        <v>43826</v>
      </c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</row>
    <row r="287" spans="1:119" x14ac:dyDescent="0.2">
      <c r="A287" t="s">
        <v>282</v>
      </c>
      <c r="B287" s="36">
        <v>43480</v>
      </c>
      <c r="C287" s="36">
        <v>43743</v>
      </c>
      <c r="D287" s="36">
        <v>43764</v>
      </c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</row>
    <row r="288" spans="1:119" x14ac:dyDescent="0.2">
      <c r="A288" t="s">
        <v>283</v>
      </c>
      <c r="B288" s="36">
        <v>43466</v>
      </c>
      <c r="C288" s="36">
        <v>43544.5</v>
      </c>
      <c r="D288" s="36">
        <v>43571</v>
      </c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</row>
    <row r="289" spans="1:119" x14ac:dyDescent="0.2">
      <c r="A289" t="s">
        <v>284</v>
      </c>
      <c r="B289" s="36">
        <v>43556</v>
      </c>
      <c r="C289" s="36">
        <v>43567.5</v>
      </c>
      <c r="D289" s="36">
        <v>43576</v>
      </c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</row>
    <row r="290" spans="1:119" x14ac:dyDescent="0.2">
      <c r="A290" t="s">
        <v>285</v>
      </c>
      <c r="B290" s="36">
        <v>43548</v>
      </c>
      <c r="C290" s="36">
        <v>43563.5</v>
      </c>
      <c r="D290" s="36">
        <v>43574</v>
      </c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</row>
    <row r="291" spans="1:119" x14ac:dyDescent="0.2">
      <c r="A291" t="s">
        <v>286</v>
      </c>
      <c r="B291" s="36">
        <v>43542</v>
      </c>
      <c r="C291" s="36">
        <v>43559.5</v>
      </c>
      <c r="D291" s="36">
        <v>43573</v>
      </c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</row>
    <row r="292" spans="1:119" x14ac:dyDescent="0.2">
      <c r="A292" t="s">
        <v>287</v>
      </c>
      <c r="B292" s="36">
        <v>43714</v>
      </c>
      <c r="C292" s="36">
        <v>43714</v>
      </c>
      <c r="D292" s="36">
        <v>43714</v>
      </c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</row>
    <row r="293" spans="1:119" x14ac:dyDescent="0.2">
      <c r="A293" t="s">
        <v>288</v>
      </c>
      <c r="B293" s="36">
        <v>43647</v>
      </c>
      <c r="C293" s="36">
        <v>43649</v>
      </c>
      <c r="D293" s="36">
        <v>43663</v>
      </c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</row>
    <row r="294" spans="1:119" x14ac:dyDescent="0.2">
      <c r="A294" t="s">
        <v>289</v>
      </c>
      <c r="B294" s="36">
        <v>43601</v>
      </c>
      <c r="C294" s="36">
        <v>43611</v>
      </c>
      <c r="D294" s="36">
        <v>43627</v>
      </c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</row>
    <row r="295" spans="1:119" x14ac:dyDescent="0.2">
      <c r="A295" t="s">
        <v>290</v>
      </c>
      <c r="B295" s="36">
        <v>43608</v>
      </c>
      <c r="C295" s="36">
        <v>43614</v>
      </c>
      <c r="D295" s="36">
        <v>43651</v>
      </c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</row>
    <row r="296" spans="1:119" x14ac:dyDescent="0.2">
      <c r="A296" t="s">
        <v>291</v>
      </c>
      <c r="B296" s="36">
        <v>43614</v>
      </c>
      <c r="C296" s="36">
        <v>43623.5</v>
      </c>
      <c r="D296" s="36">
        <v>43633</v>
      </c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</row>
    <row r="297" spans="1:119" x14ac:dyDescent="0.2">
      <c r="A297" t="s">
        <v>292</v>
      </c>
      <c r="B297" s="36">
        <v>43609</v>
      </c>
      <c r="C297" s="36">
        <v>43620.5</v>
      </c>
      <c r="D297" s="36">
        <v>43648</v>
      </c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</row>
    <row r="298" spans="1:119" x14ac:dyDescent="0.2">
      <c r="A298" t="s">
        <v>293</v>
      </c>
      <c r="B298" s="36">
        <v>43602</v>
      </c>
      <c r="C298" s="36">
        <v>43612</v>
      </c>
      <c r="D298" s="36">
        <v>43633</v>
      </c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</row>
    <row r="299" spans="1:119" x14ac:dyDescent="0.2">
      <c r="A299" t="s">
        <v>294</v>
      </c>
      <c r="B299" s="36">
        <v>43578</v>
      </c>
      <c r="C299" s="36">
        <v>43596.5</v>
      </c>
      <c r="D299" s="36">
        <v>43606</v>
      </c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</row>
    <row r="300" spans="1:119" x14ac:dyDescent="0.2">
      <c r="A300" t="s">
        <v>388</v>
      </c>
      <c r="B300" s="36" t="s">
        <v>393</v>
      </c>
      <c r="C300" s="36" t="s">
        <v>393</v>
      </c>
      <c r="D300" s="36" t="s">
        <v>393</v>
      </c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</row>
    <row r="301" spans="1:119" x14ac:dyDescent="0.2">
      <c r="A301" t="s">
        <v>295</v>
      </c>
      <c r="B301" s="36">
        <v>43597</v>
      </c>
      <c r="C301" s="36">
        <v>43611</v>
      </c>
      <c r="D301" s="36">
        <v>43628</v>
      </c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</row>
    <row r="302" spans="1:119" x14ac:dyDescent="0.2">
      <c r="A302" t="s">
        <v>296</v>
      </c>
      <c r="B302" s="36">
        <v>43606</v>
      </c>
      <c r="C302" s="36">
        <v>43618</v>
      </c>
      <c r="D302" s="36">
        <v>43648</v>
      </c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</row>
    <row r="303" spans="1:119" x14ac:dyDescent="0.2">
      <c r="A303" t="s">
        <v>297</v>
      </c>
      <c r="B303" s="36">
        <v>43598</v>
      </c>
      <c r="C303" s="36">
        <v>43617.5</v>
      </c>
      <c r="D303" s="36">
        <v>43696</v>
      </c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</row>
    <row r="304" spans="1:119" x14ac:dyDescent="0.2">
      <c r="A304" t="s">
        <v>298</v>
      </c>
      <c r="B304" s="36">
        <v>43618</v>
      </c>
      <c r="C304" s="36">
        <v>43623</v>
      </c>
      <c r="D304" s="36">
        <v>43630</v>
      </c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</row>
    <row r="305" spans="1:119" x14ac:dyDescent="0.2">
      <c r="A305" t="s">
        <v>299</v>
      </c>
      <c r="B305" s="36" t="s">
        <v>393</v>
      </c>
      <c r="C305" s="36" t="s">
        <v>393</v>
      </c>
      <c r="D305" s="36" t="s">
        <v>393</v>
      </c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</row>
    <row r="306" spans="1:119" x14ac:dyDescent="0.2">
      <c r="A306" t="s">
        <v>300</v>
      </c>
      <c r="B306" s="36">
        <v>43600</v>
      </c>
      <c r="C306" s="36">
        <v>43600</v>
      </c>
      <c r="D306" s="36">
        <v>43600</v>
      </c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</row>
    <row r="307" spans="1:119" x14ac:dyDescent="0.2">
      <c r="A307" t="s">
        <v>301</v>
      </c>
      <c r="B307" s="36" t="s">
        <v>393</v>
      </c>
      <c r="C307" s="36" t="s">
        <v>393</v>
      </c>
      <c r="D307" s="36" t="s">
        <v>393</v>
      </c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</row>
    <row r="308" spans="1:119" x14ac:dyDescent="0.2">
      <c r="A308" t="s">
        <v>302</v>
      </c>
      <c r="B308" s="36">
        <v>43695</v>
      </c>
      <c r="C308" s="36">
        <v>43695</v>
      </c>
      <c r="D308" s="36">
        <v>43695</v>
      </c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</row>
    <row r="309" spans="1:119" x14ac:dyDescent="0.2">
      <c r="A309" t="s">
        <v>303</v>
      </c>
      <c r="B309" s="36">
        <v>43585</v>
      </c>
      <c r="C309" s="36">
        <v>43592</v>
      </c>
      <c r="D309" s="36">
        <v>43597</v>
      </c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</row>
    <row r="310" spans="1:119" x14ac:dyDescent="0.2">
      <c r="A310" t="s">
        <v>304</v>
      </c>
      <c r="B310" s="36">
        <v>43591</v>
      </c>
      <c r="C310" s="36">
        <v>43599</v>
      </c>
      <c r="D310" s="36">
        <v>43607</v>
      </c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</row>
    <row r="311" spans="1:119" x14ac:dyDescent="0.2">
      <c r="A311" t="s">
        <v>305</v>
      </c>
      <c r="B311" s="36">
        <v>43596</v>
      </c>
      <c r="C311" s="36">
        <v>43602</v>
      </c>
      <c r="D311" s="36">
        <v>43607</v>
      </c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</row>
    <row r="312" spans="1:119" x14ac:dyDescent="0.2">
      <c r="A312" t="s">
        <v>306</v>
      </c>
      <c r="B312" s="36">
        <v>43547</v>
      </c>
      <c r="C312" s="36">
        <v>43597</v>
      </c>
      <c r="D312" s="36">
        <v>43615</v>
      </c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</row>
    <row r="313" spans="1:119" x14ac:dyDescent="0.2">
      <c r="A313" t="s">
        <v>307</v>
      </c>
      <c r="B313" s="36">
        <v>43599</v>
      </c>
      <c r="C313" s="36">
        <v>43615</v>
      </c>
      <c r="D313" s="36">
        <v>43628</v>
      </c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</row>
    <row r="314" spans="1:119" ht="15" x14ac:dyDescent="0.25">
      <c r="A314" t="s">
        <v>308</v>
      </c>
      <c r="B314" s="36">
        <v>43612</v>
      </c>
      <c r="C314" s="36">
        <v>43627</v>
      </c>
      <c r="D314" s="36">
        <v>43648</v>
      </c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9"/>
      <c r="DM314" s="38"/>
      <c r="DN314" s="38"/>
      <c r="DO314" s="38"/>
    </row>
    <row r="315" spans="1:119" x14ac:dyDescent="0.2">
      <c r="A315" t="s">
        <v>309</v>
      </c>
      <c r="B315" s="36">
        <v>43727</v>
      </c>
      <c r="C315" s="36">
        <v>43744</v>
      </c>
      <c r="D315" s="36">
        <v>43760</v>
      </c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</row>
    <row r="316" spans="1:119" x14ac:dyDescent="0.2">
      <c r="A316" t="s">
        <v>310</v>
      </c>
      <c r="B316" s="36">
        <v>43632</v>
      </c>
      <c r="C316" s="36">
        <v>43713</v>
      </c>
      <c r="D316" s="36">
        <v>43721</v>
      </c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</row>
    <row r="317" spans="1:119" x14ac:dyDescent="0.2">
      <c r="A317" t="s">
        <v>311</v>
      </c>
      <c r="B317" s="36">
        <v>43757</v>
      </c>
      <c r="C317" s="36">
        <v>43773</v>
      </c>
      <c r="D317" s="36">
        <v>43785</v>
      </c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</row>
    <row r="318" spans="1:119" x14ac:dyDescent="0.2">
      <c r="A318" t="s">
        <v>312</v>
      </c>
      <c r="B318" s="36">
        <v>43756</v>
      </c>
      <c r="C318" s="36">
        <v>43756</v>
      </c>
      <c r="D318" s="36">
        <v>43756</v>
      </c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</row>
    <row r="319" spans="1:119" x14ac:dyDescent="0.2">
      <c r="A319" t="s">
        <v>313</v>
      </c>
      <c r="B319" s="36">
        <v>43747</v>
      </c>
      <c r="C319" s="36">
        <v>43747</v>
      </c>
      <c r="D319" s="36">
        <v>43747</v>
      </c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</row>
    <row r="320" spans="1:119" x14ac:dyDescent="0.2">
      <c r="A320" t="s">
        <v>314</v>
      </c>
      <c r="B320" s="36">
        <v>43585</v>
      </c>
      <c r="C320" s="36">
        <v>43593</v>
      </c>
      <c r="D320" s="36">
        <v>43599</v>
      </c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</row>
    <row r="321" spans="1:119" x14ac:dyDescent="0.2">
      <c r="A321" t="s">
        <v>315</v>
      </c>
      <c r="B321" s="36">
        <v>43560</v>
      </c>
      <c r="C321" s="36">
        <v>43574</v>
      </c>
      <c r="D321" s="36">
        <v>43578</v>
      </c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</row>
    <row r="322" spans="1:119" x14ac:dyDescent="0.2">
      <c r="A322" t="s">
        <v>316</v>
      </c>
      <c r="B322" s="36">
        <v>43575</v>
      </c>
      <c r="C322" s="36">
        <v>43582</v>
      </c>
      <c r="D322" s="36">
        <v>43589</v>
      </c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</row>
    <row r="323" spans="1:119" x14ac:dyDescent="0.2">
      <c r="A323" t="s">
        <v>317</v>
      </c>
      <c r="B323" s="36">
        <v>43466</v>
      </c>
      <c r="C323" s="36">
        <v>43466</v>
      </c>
      <c r="D323" s="36">
        <v>43467</v>
      </c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</row>
    <row r="324" spans="1:119" x14ac:dyDescent="0.2">
      <c r="A324" t="s">
        <v>318</v>
      </c>
      <c r="B324" s="36">
        <v>43619</v>
      </c>
      <c r="C324" s="36">
        <v>43691</v>
      </c>
      <c r="D324" s="36">
        <v>43763</v>
      </c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</row>
    <row r="325" spans="1:119" x14ac:dyDescent="0.2">
      <c r="A325" t="s">
        <v>319</v>
      </c>
      <c r="B325" s="36">
        <v>43586</v>
      </c>
      <c r="C325" s="36">
        <v>43595</v>
      </c>
      <c r="D325" s="36">
        <v>43604</v>
      </c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</row>
    <row r="326" spans="1:119" x14ac:dyDescent="0.2">
      <c r="A326" t="s">
        <v>320</v>
      </c>
      <c r="B326" s="36">
        <v>43594</v>
      </c>
      <c r="C326" s="36">
        <v>43606</v>
      </c>
      <c r="D326" s="36">
        <v>43615</v>
      </c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</row>
    <row r="327" spans="1:119" x14ac:dyDescent="0.2">
      <c r="A327" t="s">
        <v>321</v>
      </c>
      <c r="B327" s="36">
        <v>43601</v>
      </c>
      <c r="C327" s="36">
        <v>43611</v>
      </c>
      <c r="D327" s="36">
        <v>43749</v>
      </c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</row>
    <row r="328" spans="1:119" x14ac:dyDescent="0.2">
      <c r="A328" t="s">
        <v>322</v>
      </c>
      <c r="B328" s="36">
        <v>43574</v>
      </c>
      <c r="C328" s="36">
        <v>43582.5</v>
      </c>
      <c r="D328" s="36">
        <v>43589</v>
      </c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</row>
    <row r="329" spans="1:119" x14ac:dyDescent="0.2">
      <c r="A329" t="s">
        <v>323</v>
      </c>
      <c r="B329" s="36">
        <v>43466</v>
      </c>
      <c r="C329" s="36">
        <v>43477</v>
      </c>
      <c r="D329" s="36">
        <v>43815</v>
      </c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</row>
    <row r="330" spans="1:119" x14ac:dyDescent="0.2">
      <c r="A330" t="s">
        <v>324</v>
      </c>
      <c r="B330" s="36">
        <v>43466</v>
      </c>
      <c r="C330" s="36">
        <v>43466</v>
      </c>
      <c r="D330" s="36">
        <v>43477</v>
      </c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</row>
    <row r="331" spans="1:119" x14ac:dyDescent="0.2">
      <c r="A331" t="s">
        <v>325</v>
      </c>
      <c r="B331" s="36">
        <v>43466</v>
      </c>
      <c r="C331" s="36">
        <v>43678.5</v>
      </c>
      <c r="D331" s="36">
        <v>43805</v>
      </c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</row>
    <row r="332" spans="1:119" x14ac:dyDescent="0.2">
      <c r="A332" t="s">
        <v>326</v>
      </c>
      <c r="B332" s="36">
        <v>43466</v>
      </c>
      <c r="C332" s="36">
        <v>43466</v>
      </c>
      <c r="D332" s="36">
        <v>43466</v>
      </c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</row>
    <row r="333" spans="1:119" x14ac:dyDescent="0.2">
      <c r="A333" t="s">
        <v>327</v>
      </c>
      <c r="B333" s="36">
        <v>43466</v>
      </c>
      <c r="C333" s="36">
        <v>43466</v>
      </c>
      <c r="D333" s="36">
        <v>43466</v>
      </c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</row>
    <row r="334" spans="1:119" x14ac:dyDescent="0.2">
      <c r="A334" t="s">
        <v>328</v>
      </c>
      <c r="B334" s="36">
        <v>43466</v>
      </c>
      <c r="C334" s="36">
        <v>43466</v>
      </c>
      <c r="D334" s="36">
        <v>43466</v>
      </c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</row>
    <row r="335" spans="1:119" x14ac:dyDescent="0.2">
      <c r="A335" t="s">
        <v>329</v>
      </c>
      <c r="B335" s="36">
        <v>43466</v>
      </c>
      <c r="C335" s="36">
        <v>43466</v>
      </c>
      <c r="D335" s="36">
        <v>43466</v>
      </c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</row>
    <row r="336" spans="1:119" x14ac:dyDescent="0.2">
      <c r="A336" t="s">
        <v>330</v>
      </c>
      <c r="B336" s="36">
        <v>43466</v>
      </c>
      <c r="C336" s="36">
        <v>43474</v>
      </c>
      <c r="D336" s="36">
        <v>43765</v>
      </c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</row>
    <row r="337" spans="1:119" x14ac:dyDescent="0.2">
      <c r="A337" t="s">
        <v>331</v>
      </c>
      <c r="B337" s="36">
        <v>43466</v>
      </c>
      <c r="C337" s="36">
        <v>43466</v>
      </c>
      <c r="D337" s="36">
        <v>43466</v>
      </c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</row>
    <row r="338" spans="1:119" x14ac:dyDescent="0.2">
      <c r="A338" t="s">
        <v>332</v>
      </c>
      <c r="B338" s="36">
        <v>43466</v>
      </c>
      <c r="C338" s="36">
        <v>43466</v>
      </c>
      <c r="D338" s="36">
        <v>43724</v>
      </c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</row>
    <row r="339" spans="1:119" x14ac:dyDescent="0.2">
      <c r="A339" t="s">
        <v>333</v>
      </c>
      <c r="B339" s="36">
        <v>43466</v>
      </c>
      <c r="C339" s="36">
        <v>43467.5</v>
      </c>
      <c r="D339" s="36">
        <v>43753</v>
      </c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</row>
    <row r="340" spans="1:119" x14ac:dyDescent="0.2">
      <c r="A340" t="s">
        <v>334</v>
      </c>
      <c r="B340" s="36">
        <v>43466</v>
      </c>
      <c r="C340" s="36">
        <v>43466</v>
      </c>
      <c r="D340" s="36">
        <v>43466</v>
      </c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</row>
    <row r="341" spans="1:119" x14ac:dyDescent="0.2">
      <c r="A341" t="s">
        <v>335</v>
      </c>
      <c r="B341" s="36">
        <v>43597</v>
      </c>
      <c r="C341" s="36">
        <v>43620</v>
      </c>
      <c r="D341" s="36">
        <v>43716</v>
      </c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</row>
    <row r="342" spans="1:119" x14ac:dyDescent="0.2">
      <c r="A342" t="s">
        <v>336</v>
      </c>
      <c r="B342" s="36">
        <v>43611</v>
      </c>
      <c r="C342" s="36">
        <v>43623.5</v>
      </c>
      <c r="D342" s="36">
        <v>43652</v>
      </c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</row>
    <row r="343" spans="1:119" x14ac:dyDescent="0.2">
      <c r="A343" t="s">
        <v>389</v>
      </c>
      <c r="B343" s="36" t="s">
        <v>393</v>
      </c>
      <c r="C343" s="36" t="s">
        <v>393</v>
      </c>
      <c r="D343" s="36" t="s">
        <v>393</v>
      </c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</row>
    <row r="344" spans="1:119" x14ac:dyDescent="0.2">
      <c r="A344" t="s">
        <v>337</v>
      </c>
      <c r="B344" s="36">
        <v>43609</v>
      </c>
      <c r="C344" s="36">
        <v>43699.5</v>
      </c>
      <c r="D344" s="36">
        <v>43790</v>
      </c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</row>
    <row r="345" spans="1:119" x14ac:dyDescent="0.2">
      <c r="A345" t="s">
        <v>338</v>
      </c>
      <c r="B345" s="36">
        <v>43588</v>
      </c>
      <c r="C345" s="36">
        <v>43601</v>
      </c>
      <c r="D345" s="36">
        <v>43609</v>
      </c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</row>
    <row r="346" spans="1:119" x14ac:dyDescent="0.2">
      <c r="A346" t="s">
        <v>339</v>
      </c>
      <c r="B346" s="36">
        <v>43598</v>
      </c>
      <c r="C346" s="36">
        <v>43611</v>
      </c>
      <c r="D346" s="36">
        <v>43746</v>
      </c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</row>
    <row r="347" spans="1:119" x14ac:dyDescent="0.2">
      <c r="A347" t="s">
        <v>340</v>
      </c>
      <c r="B347" s="36">
        <v>43525</v>
      </c>
      <c r="C347" s="36">
        <v>43537</v>
      </c>
      <c r="D347" s="36">
        <v>43567</v>
      </c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</row>
    <row r="348" spans="1:119" x14ac:dyDescent="0.2">
      <c r="A348" t="s">
        <v>341</v>
      </c>
      <c r="B348" s="36">
        <v>43466</v>
      </c>
      <c r="C348" s="36">
        <v>43466</v>
      </c>
      <c r="D348" s="36">
        <v>43466</v>
      </c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</row>
    <row r="349" spans="1:119" x14ac:dyDescent="0.2">
      <c r="A349" t="s">
        <v>342</v>
      </c>
      <c r="B349" s="36">
        <v>43466</v>
      </c>
      <c r="C349" s="36">
        <v>43466</v>
      </c>
      <c r="D349" s="36">
        <v>43548</v>
      </c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</row>
    <row r="350" spans="1:119" x14ac:dyDescent="0.2">
      <c r="A350" t="s">
        <v>343</v>
      </c>
      <c r="B350" s="36">
        <v>43466</v>
      </c>
      <c r="C350" s="36">
        <v>43466</v>
      </c>
      <c r="D350" s="36">
        <v>43466</v>
      </c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</row>
    <row r="351" spans="1:119" x14ac:dyDescent="0.2">
      <c r="A351" t="s">
        <v>344</v>
      </c>
      <c r="B351" s="36">
        <v>43466</v>
      </c>
      <c r="C351" s="36">
        <v>43466.5</v>
      </c>
      <c r="D351" s="36">
        <v>43594</v>
      </c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</row>
    <row r="352" spans="1:119" x14ac:dyDescent="0.2">
      <c r="A352" t="s">
        <v>345</v>
      </c>
      <c r="B352" s="36">
        <v>43466</v>
      </c>
      <c r="C352" s="36">
        <v>43466</v>
      </c>
      <c r="D352" s="36">
        <v>43466</v>
      </c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</row>
    <row r="353" spans="1:119" x14ac:dyDescent="0.2">
      <c r="A353" t="s">
        <v>346</v>
      </c>
      <c r="B353" s="36">
        <v>43513</v>
      </c>
      <c r="C353" s="36">
        <v>43534</v>
      </c>
      <c r="D353" s="36">
        <v>43546</v>
      </c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</row>
    <row r="354" spans="1:119" x14ac:dyDescent="0.2">
      <c r="A354" t="s">
        <v>347</v>
      </c>
      <c r="B354" s="36">
        <v>43466</v>
      </c>
      <c r="C354" s="36">
        <v>43466</v>
      </c>
      <c r="D354" s="36">
        <v>43466</v>
      </c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</row>
    <row r="355" spans="1:119" x14ac:dyDescent="0.2">
      <c r="A355" t="s">
        <v>348</v>
      </c>
      <c r="B355" s="36">
        <v>43466</v>
      </c>
      <c r="C355" s="36">
        <v>43466</v>
      </c>
      <c r="D355" s="36">
        <v>43466</v>
      </c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</row>
    <row r="356" spans="1:119" x14ac:dyDescent="0.2">
      <c r="A356" t="s">
        <v>349</v>
      </c>
      <c r="B356" s="36">
        <v>43526</v>
      </c>
      <c r="C356" s="36">
        <v>43542.5</v>
      </c>
      <c r="D356" s="36">
        <v>43561</v>
      </c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</row>
    <row r="357" spans="1:119" x14ac:dyDescent="0.2">
      <c r="A357" t="s">
        <v>350</v>
      </c>
      <c r="B357" s="36">
        <v>43607</v>
      </c>
      <c r="C357" s="36">
        <v>43631.5</v>
      </c>
      <c r="D357" s="36">
        <v>43675</v>
      </c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</row>
    <row r="358" spans="1:119" x14ac:dyDescent="0.2">
      <c r="A358" t="s">
        <v>351</v>
      </c>
      <c r="B358" s="36">
        <v>43466</v>
      </c>
      <c r="C358" s="36">
        <v>43466</v>
      </c>
      <c r="D358" s="36">
        <v>43466</v>
      </c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</row>
    <row r="359" spans="1:119" x14ac:dyDescent="0.2">
      <c r="A359" t="s">
        <v>352</v>
      </c>
      <c r="B359" s="36">
        <v>43466</v>
      </c>
      <c r="C359" s="36">
        <v>43466</v>
      </c>
      <c r="D359" s="36">
        <v>43466</v>
      </c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</row>
    <row r="360" spans="1:119" x14ac:dyDescent="0.2">
      <c r="A360" t="s">
        <v>353</v>
      </c>
      <c r="B360" s="36">
        <v>43525</v>
      </c>
      <c r="C360" s="36">
        <v>43547.5</v>
      </c>
      <c r="D360" s="36">
        <v>43562</v>
      </c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</row>
    <row r="361" spans="1:119" x14ac:dyDescent="0.2">
      <c r="A361" t="s">
        <v>354</v>
      </c>
      <c r="B361" s="36">
        <v>43534</v>
      </c>
      <c r="C361" s="36">
        <v>43559</v>
      </c>
      <c r="D361" s="36">
        <v>43567</v>
      </c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</row>
    <row r="362" spans="1:119" x14ac:dyDescent="0.2">
      <c r="A362" t="s">
        <v>355</v>
      </c>
      <c r="B362" s="36">
        <v>43581</v>
      </c>
      <c r="C362" s="36">
        <v>43591</v>
      </c>
      <c r="D362" s="36">
        <v>43623</v>
      </c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</row>
    <row r="363" spans="1:119" x14ac:dyDescent="0.2">
      <c r="A363" t="s">
        <v>356</v>
      </c>
      <c r="B363" s="36">
        <v>43466</v>
      </c>
      <c r="C363" s="36">
        <v>43466</v>
      </c>
      <c r="D363" s="36">
        <v>43466</v>
      </c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</row>
    <row r="364" spans="1:119" x14ac:dyDescent="0.2">
      <c r="A364" t="s">
        <v>357</v>
      </c>
      <c r="B364" s="36">
        <v>43466</v>
      </c>
      <c r="C364" s="36">
        <v>43466</v>
      </c>
      <c r="D364" s="36">
        <v>43468</v>
      </c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</row>
    <row r="365" spans="1:119" x14ac:dyDescent="0.2">
      <c r="A365" t="s">
        <v>358</v>
      </c>
      <c r="B365" s="36">
        <v>43525</v>
      </c>
      <c r="C365" s="36">
        <v>43538</v>
      </c>
      <c r="D365" s="36">
        <v>43573</v>
      </c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</row>
    <row r="366" spans="1:119" x14ac:dyDescent="0.2">
      <c r="A366" t="s">
        <v>359</v>
      </c>
      <c r="B366" s="36">
        <v>43539</v>
      </c>
      <c r="C366" s="36">
        <v>43555</v>
      </c>
      <c r="D366" s="36">
        <v>43567</v>
      </c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</row>
    <row r="367" spans="1:119" x14ac:dyDescent="0.2">
      <c r="A367" t="s">
        <v>360</v>
      </c>
      <c r="B367" s="36">
        <v>43466</v>
      </c>
      <c r="C367" s="36">
        <v>43467.5</v>
      </c>
      <c r="D367" s="36">
        <v>43562</v>
      </c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</row>
    <row r="368" spans="1:119" x14ac:dyDescent="0.2">
      <c r="A368" t="s">
        <v>361</v>
      </c>
      <c r="B368" s="36">
        <v>43466</v>
      </c>
      <c r="C368" s="36">
        <v>43466</v>
      </c>
      <c r="D368" s="36">
        <v>43466</v>
      </c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</row>
    <row r="369" spans="1:119" x14ac:dyDescent="0.2">
      <c r="A369" t="s">
        <v>362</v>
      </c>
      <c r="B369" s="36">
        <v>43466</v>
      </c>
      <c r="C369" s="36">
        <v>43466</v>
      </c>
      <c r="D369" s="36">
        <v>43482</v>
      </c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</row>
    <row r="370" spans="1:119" x14ac:dyDescent="0.2">
      <c r="A370" t="s">
        <v>363</v>
      </c>
      <c r="B370" s="36">
        <v>43466</v>
      </c>
      <c r="C370" s="36">
        <v>43479</v>
      </c>
      <c r="D370" s="36">
        <v>43612</v>
      </c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</row>
    <row r="371" spans="1:119" x14ac:dyDescent="0.2">
      <c r="A371" t="s">
        <v>364</v>
      </c>
      <c r="B371" s="36">
        <v>43466</v>
      </c>
      <c r="C371" s="36">
        <v>43468</v>
      </c>
      <c r="D371" s="36">
        <v>43485</v>
      </c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</row>
    <row r="372" spans="1:119" x14ac:dyDescent="0.2">
      <c r="A372" t="s">
        <v>365</v>
      </c>
      <c r="B372" s="36">
        <v>43466</v>
      </c>
      <c r="C372" s="36">
        <v>43472</v>
      </c>
      <c r="D372" s="36">
        <v>43536</v>
      </c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</row>
    <row r="373" spans="1:119" x14ac:dyDescent="0.2">
      <c r="A373" t="s">
        <v>366</v>
      </c>
      <c r="B373" s="36">
        <v>43590</v>
      </c>
      <c r="C373" s="36">
        <v>43599.5</v>
      </c>
      <c r="D373" s="36">
        <v>43604</v>
      </c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</row>
    <row r="374" spans="1:119" x14ac:dyDescent="0.2">
      <c r="A374" t="s">
        <v>367</v>
      </c>
      <c r="B374" s="36">
        <v>43466</v>
      </c>
      <c r="C374" s="36">
        <v>43466</v>
      </c>
      <c r="D374" s="36">
        <v>43485</v>
      </c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</row>
    <row r="375" spans="1:119" x14ac:dyDescent="0.2">
      <c r="A375" t="s">
        <v>368</v>
      </c>
      <c r="B375" s="36">
        <v>43466</v>
      </c>
      <c r="C375" s="36">
        <v>43466</v>
      </c>
      <c r="D375" s="36">
        <v>43466</v>
      </c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</row>
    <row r="376" spans="1:119" x14ac:dyDescent="0.2">
      <c r="A376" t="s">
        <v>369</v>
      </c>
      <c r="B376" s="36">
        <v>43466</v>
      </c>
      <c r="C376" s="36">
        <v>43469.5</v>
      </c>
      <c r="D376" s="36">
        <v>43581</v>
      </c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</row>
    <row r="377" spans="1:119" x14ac:dyDescent="0.2">
      <c r="A377" t="s">
        <v>370</v>
      </c>
      <c r="B377" s="36">
        <v>43550</v>
      </c>
      <c r="C377" s="36">
        <v>43561</v>
      </c>
      <c r="D377" s="36">
        <v>43570</v>
      </c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</row>
    <row r="378" spans="1:119" x14ac:dyDescent="0.2">
      <c r="A378" t="s">
        <v>371</v>
      </c>
      <c r="B378" s="36">
        <v>43466</v>
      </c>
      <c r="C378" s="36">
        <v>43470</v>
      </c>
      <c r="D378" s="36">
        <v>43551</v>
      </c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</row>
    <row r="379" spans="1:119" x14ac:dyDescent="0.2">
      <c r="A379" t="s">
        <v>372</v>
      </c>
      <c r="B379" s="36">
        <v>43577</v>
      </c>
      <c r="C379" s="36">
        <v>43577</v>
      </c>
      <c r="D379" s="36">
        <v>43577</v>
      </c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</row>
    <row r="380" spans="1:119" x14ac:dyDescent="0.2">
      <c r="A380" t="s">
        <v>373</v>
      </c>
      <c r="B380" s="36">
        <v>43466</v>
      </c>
      <c r="C380" s="36">
        <v>43466</v>
      </c>
      <c r="D380" s="36">
        <v>43466</v>
      </c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</row>
    <row r="381" spans="1:119" x14ac:dyDescent="0.2">
      <c r="A381" t="s">
        <v>374</v>
      </c>
      <c r="B381" s="36">
        <v>43582</v>
      </c>
      <c r="C381" s="36">
        <v>43586.5</v>
      </c>
      <c r="D381" s="36">
        <v>43594</v>
      </c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</row>
    <row r="382" spans="1:119" x14ac:dyDescent="0.2">
      <c r="A382" t="s">
        <v>375</v>
      </c>
      <c r="B382" s="36">
        <v>43562</v>
      </c>
      <c r="C382" s="36">
        <v>43575</v>
      </c>
      <c r="D382" s="36">
        <v>43585</v>
      </c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</row>
    <row r="383" spans="1:119" x14ac:dyDescent="0.2">
      <c r="A383" t="s">
        <v>376</v>
      </c>
      <c r="B383" s="36">
        <v>43591</v>
      </c>
      <c r="C383" s="36">
        <v>43611.5</v>
      </c>
      <c r="D383" s="36">
        <v>43633</v>
      </c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</row>
    <row r="384" spans="1:119" x14ac:dyDescent="0.2">
      <c r="A384" t="s">
        <v>377</v>
      </c>
      <c r="B384" s="36">
        <v>43616</v>
      </c>
      <c r="C384" s="36">
        <v>43629</v>
      </c>
      <c r="D384" s="36">
        <v>43659</v>
      </c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</row>
    <row r="385" spans="1:119" x14ac:dyDescent="0.2">
      <c r="A385" t="s">
        <v>378</v>
      </c>
      <c r="B385" s="36">
        <v>43544</v>
      </c>
      <c r="C385" s="36">
        <v>43557</v>
      </c>
      <c r="D385" s="36">
        <v>43569</v>
      </c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</row>
    <row r="386" spans="1:119" x14ac:dyDescent="0.2">
      <c r="A386" t="s">
        <v>381</v>
      </c>
      <c r="B386" s="36" t="s">
        <v>393</v>
      </c>
      <c r="C386" s="36" t="s">
        <v>393</v>
      </c>
      <c r="D386" s="36" t="s">
        <v>393</v>
      </c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</row>
    <row r="387" spans="1:119" x14ac:dyDescent="0.2">
      <c r="A387" t="s">
        <v>379</v>
      </c>
      <c r="B387" s="36">
        <v>43796</v>
      </c>
      <c r="C387" s="36">
        <v>43796</v>
      </c>
      <c r="D387" s="36">
        <v>43796</v>
      </c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</row>
    <row r="388" spans="1:119" x14ac:dyDescent="0.2">
      <c r="A388" t="s">
        <v>380</v>
      </c>
      <c r="B388" s="36">
        <v>43599</v>
      </c>
      <c r="C388" s="36">
        <v>43605.5</v>
      </c>
      <c r="D388" s="36">
        <v>43624</v>
      </c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2B025-2F33-4B44-81EA-DE7142BEF2C1}">
  <dimension ref="A1:AQ392"/>
  <sheetViews>
    <sheetView topLeftCell="E1" zoomScaleNormal="100" workbookViewId="0">
      <pane ySplit="1455" topLeftCell="A346"/>
      <selection activeCell="AP4" sqref="AP4:AQ391"/>
      <selection pane="bottomLeft" activeCell="AE4" sqref="AE4:AG391"/>
    </sheetView>
  </sheetViews>
  <sheetFormatPr defaultColWidth="8.85546875" defaultRowHeight="12.75" x14ac:dyDescent="0.2"/>
  <cols>
    <col min="1" max="1" width="1.7109375" customWidth="1"/>
    <col min="2" max="2" width="6.28515625" customWidth="1"/>
    <col min="3" max="3" width="2.5703125" customWidth="1"/>
    <col min="4" max="4" width="21" customWidth="1"/>
    <col min="5" max="5" width="2.140625" customWidth="1"/>
    <col min="6" max="14" width="6.7109375" customWidth="1"/>
    <col min="15" max="29" width="6.140625" customWidth="1"/>
    <col min="30" max="30" width="1.7109375" customWidth="1"/>
    <col min="31" max="31" width="7.7109375" customWidth="1"/>
    <col min="32" max="32" width="8.7109375" customWidth="1"/>
    <col min="33" max="33" width="7.7109375" customWidth="1"/>
    <col min="34" max="34" width="5" customWidth="1"/>
    <col min="35" max="35" width="10.85546875" style="36" customWidth="1"/>
    <col min="36" max="37" width="6" style="36" customWidth="1"/>
    <col min="38" max="38" width="4.85546875" customWidth="1"/>
    <col min="39" max="40" width="4.28515625" customWidth="1"/>
  </cols>
  <sheetData>
    <row r="1" spans="1:43" ht="15.75" x14ac:dyDescent="0.25">
      <c r="A1" s="1"/>
      <c r="B1" s="2" t="s">
        <v>0</v>
      </c>
      <c r="C1" s="2"/>
      <c r="D1" s="2"/>
      <c r="E1" s="2"/>
      <c r="F1" s="31" t="s">
        <v>383</v>
      </c>
      <c r="G1" s="31" t="s">
        <v>383</v>
      </c>
      <c r="H1" s="31" t="s">
        <v>383</v>
      </c>
      <c r="I1" s="31" t="s">
        <v>383</v>
      </c>
      <c r="J1" s="31" t="s">
        <v>383</v>
      </c>
      <c r="K1" s="31" t="s">
        <v>383</v>
      </c>
      <c r="L1" s="31" t="s">
        <v>383</v>
      </c>
      <c r="M1" s="31" t="s">
        <v>383</v>
      </c>
      <c r="N1" s="31" t="s">
        <v>383</v>
      </c>
      <c r="O1" s="31" t="s">
        <v>383</v>
      </c>
      <c r="P1" s="31" t="s">
        <v>383</v>
      </c>
      <c r="Q1" s="31" t="s">
        <v>383</v>
      </c>
      <c r="R1" s="31" t="s">
        <v>383</v>
      </c>
      <c r="S1" s="31" t="s">
        <v>383</v>
      </c>
      <c r="T1" s="31" t="s">
        <v>383</v>
      </c>
      <c r="U1" s="31" t="s">
        <v>383</v>
      </c>
      <c r="V1" s="31" t="s">
        <v>383</v>
      </c>
      <c r="W1" s="31" t="s">
        <v>383</v>
      </c>
      <c r="X1" s="31" t="s">
        <v>383</v>
      </c>
      <c r="Y1" s="31" t="s">
        <v>383</v>
      </c>
      <c r="Z1" s="31" t="s">
        <v>383</v>
      </c>
      <c r="AA1" s="31"/>
      <c r="AB1" s="31"/>
      <c r="AC1" s="31"/>
      <c r="AD1" s="31"/>
      <c r="AE1" s="3"/>
      <c r="AF1" s="3"/>
      <c r="AG1" s="26" t="b">
        <v>0</v>
      </c>
      <c r="AH1" s="3"/>
      <c r="AI1" s="44"/>
      <c r="AJ1" s="44"/>
      <c r="AK1" s="44"/>
    </row>
    <row r="2" spans="1:43" s="8" customFormat="1" ht="15.75" x14ac:dyDescent="0.25">
      <c r="A2" s="4"/>
      <c r="B2" s="2" t="s">
        <v>398</v>
      </c>
      <c r="C2" s="5"/>
      <c r="D2" s="6"/>
      <c r="E2" s="5"/>
      <c r="F2" s="7">
        <v>2000</v>
      </c>
      <c r="G2" s="7">
        <v>2001</v>
      </c>
      <c r="H2" s="7">
        <v>2002</v>
      </c>
      <c r="I2" s="7">
        <v>2003</v>
      </c>
      <c r="J2" s="7">
        <v>2004</v>
      </c>
      <c r="K2" s="7">
        <v>2005</v>
      </c>
      <c r="L2" s="7">
        <v>2006</v>
      </c>
      <c r="M2" s="7">
        <v>2007</v>
      </c>
      <c r="N2" s="7">
        <v>2008</v>
      </c>
      <c r="O2" s="7">
        <v>2009</v>
      </c>
      <c r="P2" s="7">
        <v>2010</v>
      </c>
      <c r="Q2" s="7">
        <v>2011</v>
      </c>
      <c r="R2" s="7">
        <v>2012</v>
      </c>
      <c r="S2" s="7">
        <v>2013</v>
      </c>
      <c r="T2" s="7">
        <v>2014</v>
      </c>
      <c r="U2" s="7">
        <v>2015</v>
      </c>
      <c r="V2" s="7">
        <v>2016</v>
      </c>
      <c r="W2" s="7">
        <v>2017</v>
      </c>
      <c r="X2" s="7">
        <v>2018</v>
      </c>
      <c r="Y2" s="7">
        <v>2019</v>
      </c>
      <c r="Z2" s="7">
        <v>2020</v>
      </c>
      <c r="AA2" s="7">
        <v>2021</v>
      </c>
      <c r="AB2" s="7">
        <v>2022</v>
      </c>
      <c r="AC2" s="7">
        <v>2023</v>
      </c>
      <c r="AD2" s="7"/>
      <c r="AE2" s="35" t="s">
        <v>391</v>
      </c>
      <c r="AF2" s="35" t="s">
        <v>1</v>
      </c>
      <c r="AG2" s="35" t="s">
        <v>392</v>
      </c>
      <c r="AH2" s="3"/>
      <c r="AI2" s="44"/>
      <c r="AJ2" s="44"/>
      <c r="AK2" s="44"/>
    </row>
    <row r="3" spans="1:43" s="8" customFormat="1" ht="15.75" x14ac:dyDescent="0.25">
      <c r="A3" s="4"/>
      <c r="B3" s="48"/>
      <c r="C3" s="48"/>
      <c r="D3" s="48"/>
      <c r="E3" s="5"/>
      <c r="F3" s="7">
        <f t="shared" ref="F3:AC3" si="0">COUNTA(F4:F391)</f>
        <v>195</v>
      </c>
      <c r="G3" s="7">
        <f t="shared" si="0"/>
        <v>198</v>
      </c>
      <c r="H3" s="7">
        <f t="shared" si="0"/>
        <v>207</v>
      </c>
      <c r="I3" s="7">
        <f t="shared" si="0"/>
        <v>270</v>
      </c>
      <c r="J3" s="7">
        <f t="shared" si="0"/>
        <v>279</v>
      </c>
      <c r="K3" s="7">
        <f t="shared" si="0"/>
        <v>273</v>
      </c>
      <c r="L3" s="7">
        <f t="shared" si="0"/>
        <v>258</v>
      </c>
      <c r="M3" s="7">
        <f t="shared" si="0"/>
        <v>267</v>
      </c>
      <c r="N3" s="7">
        <f t="shared" si="0"/>
        <v>267</v>
      </c>
      <c r="O3" s="7">
        <f t="shared" si="0"/>
        <v>261</v>
      </c>
      <c r="P3" s="7">
        <f t="shared" si="0"/>
        <v>267</v>
      </c>
      <c r="Q3" s="7">
        <f t="shared" si="0"/>
        <v>274</v>
      </c>
      <c r="R3" s="7">
        <f t="shared" si="0"/>
        <v>259</v>
      </c>
      <c r="S3" s="7">
        <f t="shared" si="0"/>
        <v>269</v>
      </c>
      <c r="T3" s="7">
        <f t="shared" si="0"/>
        <v>271</v>
      </c>
      <c r="U3" s="7">
        <f t="shared" si="0"/>
        <v>272</v>
      </c>
      <c r="V3" s="7">
        <f t="shared" si="0"/>
        <v>264</v>
      </c>
      <c r="W3" s="7">
        <f t="shared" si="0"/>
        <v>266</v>
      </c>
      <c r="X3" s="7">
        <f t="shared" si="0"/>
        <v>268</v>
      </c>
      <c r="Y3" s="7">
        <f t="shared" si="0"/>
        <v>269</v>
      </c>
      <c r="Z3" s="7">
        <f t="shared" si="0"/>
        <v>280</v>
      </c>
      <c r="AA3" s="7">
        <f t="shared" si="0"/>
        <v>276</v>
      </c>
      <c r="AB3" s="7">
        <f t="shared" si="0"/>
        <v>269</v>
      </c>
      <c r="AC3" s="7">
        <f t="shared" si="0"/>
        <v>270</v>
      </c>
      <c r="AD3" s="7"/>
      <c r="AE3" s="32" t="s">
        <v>396</v>
      </c>
      <c r="AF3" s="32" t="s">
        <v>396</v>
      </c>
      <c r="AG3" s="32" t="s">
        <v>396</v>
      </c>
      <c r="AH3" s="3"/>
      <c r="AI3" s="44"/>
      <c r="AJ3" s="44"/>
      <c r="AK3" s="44"/>
    </row>
    <row r="4" spans="1:43" x14ac:dyDescent="0.2">
      <c r="A4" s="4"/>
      <c r="B4" s="9">
        <v>1</v>
      </c>
      <c r="C4" s="10"/>
      <c r="D4" s="9" t="s">
        <v>2</v>
      </c>
      <c r="E4" s="10"/>
      <c r="F4" s="11">
        <v>43574</v>
      </c>
      <c r="G4" s="12">
        <v>43584</v>
      </c>
      <c r="H4" s="11">
        <v>43553</v>
      </c>
      <c r="I4" s="12">
        <v>43554</v>
      </c>
      <c r="J4" s="11">
        <v>43544</v>
      </c>
      <c r="K4" s="12">
        <v>43559</v>
      </c>
      <c r="L4" s="11">
        <f>IF(AG1,DATE(2019,1,7),DATE(2019,4,13))</f>
        <v>43568</v>
      </c>
      <c r="M4" s="12">
        <f>IF(AG1,DATE(2019,1,1),DATE(2019,3,27))</f>
        <v>43551</v>
      </c>
      <c r="N4" s="11">
        <f>IF(AG1,DATE(2019,1,2),DATE(2019,3,15))</f>
        <v>43539</v>
      </c>
      <c r="O4" s="12">
        <f>IF(AG1,DATE(2019,1,1),DATE(2019,3,22))</f>
        <v>43546</v>
      </c>
      <c r="P4" s="11">
        <v>43564</v>
      </c>
      <c r="Q4" s="12">
        <v>43533</v>
      </c>
      <c r="R4" s="11">
        <f>IF(AG1,DATE(2019,1,1),DATE(2019,3,18))</f>
        <v>43542</v>
      </c>
      <c r="S4" s="12">
        <v>43561</v>
      </c>
      <c r="T4" s="11">
        <f>IF(AG1,DATE(2019,1,5),DATE(2019,3,6))</f>
        <v>43530</v>
      </c>
      <c r="U4" s="12">
        <v>43521</v>
      </c>
      <c r="V4" s="11">
        <f>IF(AG1,DATE(2019,1,2),DATE(2019,3,11))</f>
        <v>43535</v>
      </c>
      <c r="W4" s="12">
        <v>43540</v>
      </c>
      <c r="X4" s="11">
        <f>IF(AG1,DATE(2019,1,1),DATE(2019,3,9))</f>
        <v>43533</v>
      </c>
      <c r="Y4" s="12">
        <v>43545</v>
      </c>
      <c r="Z4" s="11">
        <f>IF(AG1,DATE(2019,1,1),DATE(2019,3,9))</f>
        <v>43533</v>
      </c>
      <c r="AA4" s="12">
        <f>IF(AG1,DATE(2019,1,1),DATE(2019,3,24))</f>
        <v>43548</v>
      </c>
      <c r="AB4" s="11">
        <v>43543</v>
      </c>
      <c r="AC4" s="12">
        <v>43543</v>
      </c>
      <c r="AD4" s="34"/>
      <c r="AE4" s="33">
        <f>IF(SUM(F4:Z4)&gt;0,MIN(F4:Z4),"")</f>
        <v>43521</v>
      </c>
      <c r="AF4" s="33">
        <f>IF(SUM(F4:Z4)&gt;0,MEDIAN(F4:Z4),"")</f>
        <v>43545</v>
      </c>
      <c r="AG4" s="33">
        <f>IF(SUM(F4:Z4)&gt;0,MAX(F4:Z4),"")</f>
        <v>43584</v>
      </c>
      <c r="AH4">
        <v>1</v>
      </c>
      <c r="AK4" s="36" t="str">
        <f t="shared" ref="AK4:AK67" si="1">IF(AI4&lt;&gt;"",D4 &amp; "x" &amp; TEXT(AE4, "pp.kk.")  &amp; "2019x" &amp; TEXT(Z4, "pp.kk.") &amp; "2019","")</f>
        <v/>
      </c>
      <c r="AL4">
        <f>IF(COUNTIF(F4:Z4,"&lt;01.03.2019")&gt;0,COUNTIF(F4:Z4,"&lt;01.03.2019"),"")</f>
        <v>1</v>
      </c>
      <c r="AM4">
        <v>10</v>
      </c>
      <c r="AN4">
        <f t="shared" ref="AN4:AN67" si="2">AG4-AE4</f>
        <v>63</v>
      </c>
      <c r="AO4" t="str">
        <f t="shared" ref="AO4:AO67" si="3">TEXT(AE4, "p.k.")  &amp; "---" &amp; TEXT(AF4, "p.k.")  &amp; "---" &amp; TEXT(AG4, "p.k.")</f>
        <v>25.2.---21.3.---29.4.</v>
      </c>
      <c r="AP4" t="str">
        <f t="shared" ref="AP4:AP67" si="4">D4</f>
        <v>Kyhmyjoutsen</v>
      </c>
      <c r="AQ4" t="str">
        <f>IF(AND(AM4&gt;0,AM4&lt;&gt;""),"(" &amp;AO4 &amp; ", " &amp; AM4 &amp; "/21)","(" &amp; AO4 &amp; ")")</f>
        <v>(25.2.---21.3.---29.4., 10/21)</v>
      </c>
    </row>
    <row r="5" spans="1:43" x14ac:dyDescent="0.2">
      <c r="A5" s="1"/>
      <c r="B5" s="9">
        <f t="shared" ref="B5:B68" si="5">B4+1</f>
        <v>2</v>
      </c>
      <c r="C5" s="10"/>
      <c r="D5" s="9" t="s">
        <v>3</v>
      </c>
      <c r="E5" s="10"/>
      <c r="F5" s="11">
        <v>43572</v>
      </c>
      <c r="G5" s="12">
        <v>43566</v>
      </c>
      <c r="H5" s="11">
        <v>43564</v>
      </c>
      <c r="I5" s="12">
        <v>43570</v>
      </c>
      <c r="J5" s="11">
        <v>43558</v>
      </c>
      <c r="K5" s="12">
        <v>43565</v>
      </c>
      <c r="L5" s="11">
        <v>43571</v>
      </c>
      <c r="M5" s="12">
        <v>43557</v>
      </c>
      <c r="N5" s="11">
        <v>43577</v>
      </c>
      <c r="O5" s="12">
        <v>43564</v>
      </c>
      <c r="P5" s="11">
        <v>43573</v>
      </c>
      <c r="Q5" s="12">
        <v>43571</v>
      </c>
      <c r="R5" s="11">
        <v>43567</v>
      </c>
      <c r="S5" s="12">
        <v>43571</v>
      </c>
      <c r="T5" s="11">
        <v>43537</v>
      </c>
      <c r="U5" s="12">
        <v>43542</v>
      </c>
      <c r="V5" s="11">
        <v>43552</v>
      </c>
      <c r="W5" s="12">
        <v>43554</v>
      </c>
      <c r="X5" s="11">
        <v>43568</v>
      </c>
      <c r="Y5" s="12">
        <v>43551</v>
      </c>
      <c r="Z5" s="11">
        <v>43546</v>
      </c>
      <c r="AA5" s="12">
        <v>43568</v>
      </c>
      <c r="AB5" s="11">
        <v>43579</v>
      </c>
      <c r="AC5" s="12">
        <v>43572</v>
      </c>
      <c r="AD5" s="34"/>
      <c r="AE5" s="33">
        <f t="shared" ref="AE5:AE68" si="6">IF(SUM(F5:Z5)&gt;0,MIN(F5:Z5),"")</f>
        <v>43537</v>
      </c>
      <c r="AF5" s="33">
        <f t="shared" ref="AF5:AF68" si="7">IF(SUM(F5:Z5)&gt;0,MEDIAN(F5:Z5),"")</f>
        <v>43565</v>
      </c>
      <c r="AG5" s="33">
        <f t="shared" ref="AG5:AG68" si="8">IF(SUM(F5:Z5)&gt;0,MAX(F5:Z5),"")</f>
        <v>43577</v>
      </c>
      <c r="AH5">
        <v>2</v>
      </c>
      <c r="AK5" s="36" t="str">
        <f t="shared" si="1"/>
        <v/>
      </c>
      <c r="AL5" t="str">
        <f t="shared" ref="AL5:AL68" si="9">IF(COUNTIF(F5:Z5,"&lt;01.03.2019")&gt;0,COUNTIF(F5:Z5,"&lt;01.03.2019"),"")</f>
        <v/>
      </c>
      <c r="AM5" t="s">
        <v>393</v>
      </c>
      <c r="AN5">
        <f t="shared" si="2"/>
        <v>40</v>
      </c>
      <c r="AO5" t="str">
        <f t="shared" si="3"/>
        <v>13.3.---10.4.---22.4.</v>
      </c>
      <c r="AP5" t="str">
        <f t="shared" si="4"/>
        <v>Pikkujoutsen</v>
      </c>
      <c r="AQ5" t="str">
        <f t="shared" ref="AQ5:AQ68" si="10">IF(AND(AM5&gt;0,AM5&lt;&gt;""),"(" &amp;AO5 &amp; ", " &amp; AM5 &amp; "/21)","(" &amp; AO5 &amp; ")")</f>
        <v>(13.3.---10.4.---22.4.)</v>
      </c>
    </row>
    <row r="6" spans="1:43" x14ac:dyDescent="0.2">
      <c r="A6" s="1"/>
      <c r="B6" s="9">
        <f t="shared" si="5"/>
        <v>3</v>
      </c>
      <c r="C6" s="10"/>
      <c r="D6" s="9" t="s">
        <v>4</v>
      </c>
      <c r="E6" s="10"/>
      <c r="F6" s="11">
        <f>IF(AG1,DATE(2019,1,1),DATE(2019,3,19))</f>
        <v>43543</v>
      </c>
      <c r="G6" s="12">
        <f>IF(AG1,DATE(2019,1,4),DATE(2019,3,21))</f>
        <v>43545</v>
      </c>
      <c r="H6" s="11">
        <f>IF(AG1,DATE(2019,1,8),DATE(2019,2,28))</f>
        <v>43524</v>
      </c>
      <c r="I6" s="12">
        <f>IF(AG1,DATE(2019,1,1),DATE(2019,3,20))</f>
        <v>43544</v>
      </c>
      <c r="J6" s="11">
        <f>IF(AG1,DATE(2019,1,1),DATE(2019,3,17))</f>
        <v>43541</v>
      </c>
      <c r="K6" s="12">
        <f>IF(AG1,DATE(2019,1,3),DATE(2019,3,20))</f>
        <v>43544</v>
      </c>
      <c r="L6" s="11">
        <f>IF(AG1,DATE(2019,1,7),DATE(2019,3,24))</f>
        <v>43548</v>
      </c>
      <c r="M6" s="12">
        <f>IF(AG1,DATE(2019,1,3),DATE(2019,2,4))</f>
        <v>43500</v>
      </c>
      <c r="N6" s="11">
        <f>IF(AG1,DATE(2019,1,1),DATE(2019,3,6))</f>
        <v>43530</v>
      </c>
      <c r="O6" s="12">
        <f>IF(AG1,DATE(2019,1,1),DATE(2019,3,1))</f>
        <v>43525</v>
      </c>
      <c r="P6" s="11">
        <f>IF(AG1,DATE(2019,1,6),DATE(2019,3,14))</f>
        <v>43538</v>
      </c>
      <c r="Q6" s="12">
        <f>IF(AG1,DATE(2019,1,1),DATE(2019,3,5))</f>
        <v>43529</v>
      </c>
      <c r="R6" s="11">
        <f>IF(AG1,DATE(2019,1,1),DATE(2019,3,3))</f>
        <v>43527</v>
      </c>
      <c r="S6" s="12">
        <f>IF(AG1,DATE(2019,2,3),DATE(2019,3,16))</f>
        <v>43540</v>
      </c>
      <c r="T6" s="11">
        <f>IF(AG1,DATE(2019,1,1),DATE(2019,2,3))</f>
        <v>43499</v>
      </c>
      <c r="U6" s="12">
        <f>IF(AG1,DATE(2019,1,1),DATE(2019,2,14))</f>
        <v>43510</v>
      </c>
      <c r="V6" s="11">
        <f>IF(AG1,DATE(2019,1,1),DATE(2019,3,1))</f>
        <v>43525</v>
      </c>
      <c r="W6" s="12">
        <f>IF(AG1,DATE(2019,1,1),DATE(2019,3,10))</f>
        <v>43534</v>
      </c>
      <c r="X6" s="11">
        <f>IF(AG1,DATE(2019,1,2),DATE(2019,3,17))</f>
        <v>43541</v>
      </c>
      <c r="Y6" s="12">
        <f>IF(AG1,DATE(2019,1,1),DATE(2019,3,3))</f>
        <v>43527</v>
      </c>
      <c r="Z6" s="11">
        <f>IF(AG1,DATE(2019,1,1),DATE(2019,2,12))</f>
        <v>43508</v>
      </c>
      <c r="AA6" s="12">
        <f>IF(AG1,DATE(2019,1,1),DATE(2019,2,28))</f>
        <v>43524</v>
      </c>
      <c r="AB6" s="11">
        <f>IF(AF1,DATE(2019,1,1),DATE(2019,2,28))</f>
        <v>43524</v>
      </c>
      <c r="AC6" s="12">
        <v>43466</v>
      </c>
      <c r="AD6" s="34"/>
      <c r="AE6" s="33">
        <f t="shared" si="6"/>
        <v>43499</v>
      </c>
      <c r="AF6" s="33">
        <f t="shared" si="7"/>
        <v>43530</v>
      </c>
      <c r="AG6" s="33">
        <f t="shared" si="8"/>
        <v>43548</v>
      </c>
      <c r="AH6">
        <v>3</v>
      </c>
      <c r="AK6" s="36" t="str">
        <f t="shared" si="1"/>
        <v/>
      </c>
      <c r="AL6">
        <f t="shared" si="9"/>
        <v>5</v>
      </c>
      <c r="AM6">
        <v>21</v>
      </c>
      <c r="AN6">
        <f t="shared" si="2"/>
        <v>49</v>
      </c>
      <c r="AO6" t="str">
        <f t="shared" si="3"/>
        <v>3.2.---6.3.---24.3.</v>
      </c>
      <c r="AP6" t="str">
        <f t="shared" si="4"/>
        <v>Laulujoutsen</v>
      </c>
      <c r="AQ6" t="str">
        <f t="shared" si="10"/>
        <v>(3.2.---6.3.---24.3., 21/21)</v>
      </c>
    </row>
    <row r="7" spans="1:43" x14ac:dyDescent="0.2">
      <c r="A7" s="1"/>
      <c r="B7" s="9">
        <f t="shared" si="5"/>
        <v>4</v>
      </c>
      <c r="C7" s="10"/>
      <c r="D7" s="9" t="s">
        <v>5</v>
      </c>
      <c r="E7" s="10"/>
      <c r="F7" s="11">
        <v>43553</v>
      </c>
      <c r="G7" s="12">
        <v>43562</v>
      </c>
      <c r="H7" s="11">
        <v>43552</v>
      </c>
      <c r="I7" s="12">
        <v>43552</v>
      </c>
      <c r="J7" s="11">
        <v>43558</v>
      </c>
      <c r="K7" s="12">
        <v>43557</v>
      </c>
      <c r="L7" s="11">
        <v>43564</v>
      </c>
      <c r="M7" s="12">
        <v>43538</v>
      </c>
      <c r="N7" s="11">
        <f>IF(AG1,DATE(2019,1,1),DATE(2019,3,14))</f>
        <v>43538</v>
      </c>
      <c r="O7" s="12">
        <v>43558</v>
      </c>
      <c r="P7" s="11">
        <v>43564</v>
      </c>
      <c r="Q7" s="12">
        <v>43556</v>
      </c>
      <c r="R7" s="11">
        <v>43552</v>
      </c>
      <c r="S7" s="12">
        <v>43560</v>
      </c>
      <c r="T7" s="11">
        <v>43526</v>
      </c>
      <c r="U7" s="12">
        <v>43537</v>
      </c>
      <c r="V7" s="11">
        <v>43551</v>
      </c>
      <c r="W7" s="12">
        <v>43545</v>
      </c>
      <c r="X7" s="11">
        <v>43561</v>
      </c>
      <c r="Y7" s="12">
        <v>43550</v>
      </c>
      <c r="Z7" s="11">
        <v>43542</v>
      </c>
      <c r="AA7" s="12">
        <v>43548</v>
      </c>
      <c r="AB7" s="11">
        <v>43545</v>
      </c>
      <c r="AC7" s="12">
        <v>43493</v>
      </c>
      <c r="AD7" s="34"/>
      <c r="AE7" s="33">
        <f t="shared" si="6"/>
        <v>43526</v>
      </c>
      <c r="AF7" s="33">
        <f t="shared" si="7"/>
        <v>43552</v>
      </c>
      <c r="AG7" s="33">
        <f t="shared" si="8"/>
        <v>43564</v>
      </c>
      <c r="AH7">
        <v>4</v>
      </c>
      <c r="AK7" s="36" t="str">
        <f t="shared" si="1"/>
        <v/>
      </c>
      <c r="AL7" t="str">
        <f t="shared" si="9"/>
        <v/>
      </c>
      <c r="AM7">
        <v>1</v>
      </c>
      <c r="AN7">
        <f t="shared" si="2"/>
        <v>38</v>
      </c>
      <c r="AO7" t="str">
        <f t="shared" si="3"/>
        <v>2.3.---28.3.---9.4.</v>
      </c>
      <c r="AP7" t="str">
        <f t="shared" si="4"/>
        <v>Metsähanhi</v>
      </c>
      <c r="AQ7" t="str">
        <f t="shared" si="10"/>
        <v>(2.3.---28.3.---9.4., 1/21)</v>
      </c>
    </row>
    <row r="8" spans="1:43" x14ac:dyDescent="0.2">
      <c r="A8" s="1"/>
      <c r="B8" s="9">
        <f t="shared" si="5"/>
        <v>5</v>
      </c>
      <c r="C8" s="10"/>
      <c r="D8" s="9" t="s">
        <v>6</v>
      </c>
      <c r="E8" s="10"/>
      <c r="F8" s="11">
        <v>43568</v>
      </c>
      <c r="G8" s="12">
        <v>43567</v>
      </c>
      <c r="H8" s="11">
        <v>43557</v>
      </c>
      <c r="I8" s="12">
        <v>43570</v>
      </c>
      <c r="J8" s="11">
        <v>43558</v>
      </c>
      <c r="K8" s="12">
        <v>43565</v>
      </c>
      <c r="L8" s="11">
        <v>43571</v>
      </c>
      <c r="M8" s="12">
        <v>43552</v>
      </c>
      <c r="N8" s="11">
        <v>43558</v>
      </c>
      <c r="O8" s="12">
        <v>43563</v>
      </c>
      <c r="P8" s="11">
        <v>43567</v>
      </c>
      <c r="Q8" s="12">
        <v>43564</v>
      </c>
      <c r="R8" s="11">
        <v>43564</v>
      </c>
      <c r="S8" s="12">
        <v>43572</v>
      </c>
      <c r="T8" s="11">
        <v>43538</v>
      </c>
      <c r="U8" s="12">
        <v>43552</v>
      </c>
      <c r="V8" s="11">
        <v>43551</v>
      </c>
      <c r="W8" s="12">
        <v>43558</v>
      </c>
      <c r="X8" s="11">
        <v>43568</v>
      </c>
      <c r="Y8" s="12">
        <v>43555</v>
      </c>
      <c r="Z8" s="11">
        <v>43543</v>
      </c>
      <c r="AA8" s="12">
        <v>43552</v>
      </c>
      <c r="AB8" s="11">
        <v>43561</v>
      </c>
      <c r="AC8" s="12">
        <v>43562</v>
      </c>
      <c r="AD8" s="34"/>
      <c r="AE8" s="33">
        <f t="shared" si="6"/>
        <v>43538</v>
      </c>
      <c r="AF8" s="33">
        <f t="shared" si="7"/>
        <v>43563</v>
      </c>
      <c r="AG8" s="33">
        <f t="shared" si="8"/>
        <v>43572</v>
      </c>
      <c r="AH8">
        <v>5</v>
      </c>
      <c r="AK8" s="36" t="str">
        <f t="shared" si="1"/>
        <v/>
      </c>
      <c r="AL8" t="str">
        <f t="shared" si="9"/>
        <v/>
      </c>
      <c r="AM8" t="s">
        <v>393</v>
      </c>
      <c r="AN8">
        <f t="shared" si="2"/>
        <v>34</v>
      </c>
      <c r="AO8" t="str">
        <f t="shared" si="3"/>
        <v>14.3.---8.4.---17.4.</v>
      </c>
      <c r="AP8" t="str">
        <f t="shared" si="4"/>
        <v>Lyhytnokkahanhi</v>
      </c>
      <c r="AQ8" t="str">
        <f t="shared" si="10"/>
        <v>(14.3.---8.4.---17.4.)</v>
      </c>
    </row>
    <row r="9" spans="1:43" x14ac:dyDescent="0.2">
      <c r="A9" s="1"/>
      <c r="B9" s="9">
        <f t="shared" si="5"/>
        <v>6</v>
      </c>
      <c r="C9" s="10"/>
      <c r="D9" s="9" t="s">
        <v>7</v>
      </c>
      <c r="E9" s="10"/>
      <c r="F9" s="11">
        <v>43573</v>
      </c>
      <c r="G9" s="12">
        <v>43566</v>
      </c>
      <c r="H9" s="11">
        <v>43560</v>
      </c>
      <c r="I9" s="12">
        <v>43570</v>
      </c>
      <c r="J9" s="11">
        <v>43564</v>
      </c>
      <c r="K9" s="12">
        <v>43565</v>
      </c>
      <c r="L9" s="11">
        <v>43563</v>
      </c>
      <c r="M9" s="12">
        <v>43553</v>
      </c>
      <c r="N9" s="11">
        <v>43561</v>
      </c>
      <c r="O9" s="12">
        <v>43565</v>
      </c>
      <c r="P9" s="11">
        <v>43572</v>
      </c>
      <c r="Q9" s="12">
        <v>43569</v>
      </c>
      <c r="R9" s="11">
        <v>43569</v>
      </c>
      <c r="S9" s="12">
        <v>43573</v>
      </c>
      <c r="T9" s="11">
        <v>43540</v>
      </c>
      <c r="U9" s="12">
        <v>43556</v>
      </c>
      <c r="V9" s="11">
        <v>43552</v>
      </c>
      <c r="W9" s="12">
        <v>43549</v>
      </c>
      <c r="X9" s="11">
        <v>43569</v>
      </c>
      <c r="Y9" s="12">
        <v>43555</v>
      </c>
      <c r="Z9" s="11">
        <v>43542</v>
      </c>
      <c r="AA9" s="12">
        <v>43555</v>
      </c>
      <c r="AB9" s="11">
        <v>43566</v>
      </c>
      <c r="AC9" s="12">
        <v>43563</v>
      </c>
      <c r="AD9" s="34"/>
      <c r="AE9" s="33">
        <f t="shared" si="6"/>
        <v>43540</v>
      </c>
      <c r="AF9" s="33">
        <f t="shared" si="7"/>
        <v>43564</v>
      </c>
      <c r="AG9" s="33">
        <f t="shared" si="8"/>
        <v>43573</v>
      </c>
      <c r="AH9">
        <v>6</v>
      </c>
      <c r="AK9" s="36" t="str">
        <f t="shared" si="1"/>
        <v/>
      </c>
      <c r="AL9" t="str">
        <f t="shared" si="9"/>
        <v/>
      </c>
      <c r="AM9" t="s">
        <v>393</v>
      </c>
      <c r="AN9">
        <f t="shared" si="2"/>
        <v>33</v>
      </c>
      <c r="AO9" t="str">
        <f t="shared" si="3"/>
        <v>16.3.---9.4.---18.4.</v>
      </c>
      <c r="AP9" t="str">
        <f t="shared" si="4"/>
        <v>Tundrahanhi</v>
      </c>
      <c r="AQ9" t="str">
        <f t="shared" si="10"/>
        <v>(16.3.---9.4.---18.4.)</v>
      </c>
    </row>
    <row r="10" spans="1:43" x14ac:dyDescent="0.2">
      <c r="A10" s="1"/>
      <c r="B10" s="9">
        <f t="shared" si="5"/>
        <v>7</v>
      </c>
      <c r="C10" s="10"/>
      <c r="D10" s="9" t="s">
        <v>8</v>
      </c>
      <c r="E10" s="10"/>
      <c r="F10" s="11">
        <v>43576</v>
      </c>
      <c r="G10" s="12">
        <v>43592</v>
      </c>
      <c r="H10" s="11">
        <v>43575</v>
      </c>
      <c r="I10" s="12">
        <v>43591</v>
      </c>
      <c r="J10" s="11">
        <v>43586</v>
      </c>
      <c r="K10" s="12">
        <v>43594</v>
      </c>
      <c r="L10" s="11">
        <v>43584</v>
      </c>
      <c r="M10" s="12">
        <v>43588</v>
      </c>
      <c r="N10" s="11">
        <v>43584</v>
      </c>
      <c r="O10" s="12">
        <v>43588</v>
      </c>
      <c r="P10" s="11">
        <v>43586</v>
      </c>
      <c r="Q10" s="12">
        <v>43576</v>
      </c>
      <c r="R10" s="11">
        <v>43583</v>
      </c>
      <c r="S10" s="12">
        <v>43589</v>
      </c>
      <c r="T10" s="11">
        <v>43583</v>
      </c>
      <c r="U10" s="12">
        <v>43584</v>
      </c>
      <c r="V10" s="11">
        <v>43584</v>
      </c>
      <c r="W10" s="12">
        <v>43586</v>
      </c>
      <c r="X10" s="11">
        <v>43588</v>
      </c>
      <c r="Y10" s="12">
        <v>43584</v>
      </c>
      <c r="Z10" s="11">
        <v>43586</v>
      </c>
      <c r="AA10" s="12">
        <v>43560</v>
      </c>
      <c r="AB10" s="11">
        <v>43571</v>
      </c>
      <c r="AC10" s="12">
        <v>43578</v>
      </c>
      <c r="AD10" s="34"/>
      <c r="AE10" s="33">
        <f t="shared" si="6"/>
        <v>43575</v>
      </c>
      <c r="AF10" s="33">
        <f t="shared" si="7"/>
        <v>43586</v>
      </c>
      <c r="AG10" s="33">
        <f t="shared" si="8"/>
        <v>43594</v>
      </c>
      <c r="AH10">
        <v>7</v>
      </c>
      <c r="AK10" s="36" t="str">
        <f t="shared" si="1"/>
        <v/>
      </c>
      <c r="AL10" t="str">
        <f t="shared" si="9"/>
        <v/>
      </c>
      <c r="AM10" t="s">
        <v>393</v>
      </c>
      <c r="AN10">
        <f t="shared" si="2"/>
        <v>19</v>
      </c>
      <c r="AO10" t="str">
        <f t="shared" si="3"/>
        <v>20.4.---1.5.---9.5.</v>
      </c>
      <c r="AP10" t="str">
        <f t="shared" si="4"/>
        <v>Kiljuhanhi</v>
      </c>
      <c r="AQ10" t="str">
        <f t="shared" si="10"/>
        <v>(20.4.---1.5.---9.5.)</v>
      </c>
    </row>
    <row r="11" spans="1:43" x14ac:dyDescent="0.2">
      <c r="A11" s="1"/>
      <c r="B11" s="9">
        <f t="shared" si="5"/>
        <v>8</v>
      </c>
      <c r="C11" s="10"/>
      <c r="D11" s="9" t="s">
        <v>9</v>
      </c>
      <c r="E11" s="10"/>
      <c r="F11" s="11">
        <v>43553</v>
      </c>
      <c r="G11" s="12">
        <v>43557</v>
      </c>
      <c r="H11" s="11">
        <v>43549</v>
      </c>
      <c r="I11" s="12">
        <v>43551</v>
      </c>
      <c r="J11" s="11">
        <v>43543</v>
      </c>
      <c r="K11" s="12">
        <v>43556</v>
      </c>
      <c r="L11" s="11">
        <v>43562</v>
      </c>
      <c r="M11" s="12">
        <v>43540</v>
      </c>
      <c r="N11" s="11">
        <v>43535</v>
      </c>
      <c r="O11" s="12">
        <v>43541</v>
      </c>
      <c r="P11" s="11">
        <v>43548</v>
      </c>
      <c r="Q11" s="12">
        <v>43547</v>
      </c>
      <c r="R11" s="11">
        <v>43536</v>
      </c>
      <c r="S11" s="12">
        <v>43551</v>
      </c>
      <c r="T11" s="11">
        <v>43532</v>
      </c>
      <c r="U11" s="12">
        <v>43508</v>
      </c>
      <c r="V11" s="11">
        <v>43532</v>
      </c>
      <c r="W11" s="12">
        <v>43536</v>
      </c>
      <c r="X11" s="11">
        <v>43556</v>
      </c>
      <c r="Y11" s="12">
        <v>43542</v>
      </c>
      <c r="Z11" s="11">
        <v>43532</v>
      </c>
      <c r="AA11" s="12">
        <f>IF(AG1,DATE(2019,1,2),DATE(2019,3,22))</f>
        <v>43546</v>
      </c>
      <c r="AB11" s="11">
        <v>43524</v>
      </c>
      <c r="AC11" s="12">
        <v>43542</v>
      </c>
      <c r="AD11" s="34"/>
      <c r="AE11" s="33">
        <f t="shared" si="6"/>
        <v>43508</v>
      </c>
      <c r="AF11" s="33">
        <f t="shared" si="7"/>
        <v>43543</v>
      </c>
      <c r="AG11" s="33">
        <f t="shared" si="8"/>
        <v>43562</v>
      </c>
      <c r="AH11">
        <v>8</v>
      </c>
      <c r="AK11" s="36" t="str">
        <f t="shared" si="1"/>
        <v/>
      </c>
      <c r="AL11">
        <f t="shared" si="9"/>
        <v>1</v>
      </c>
      <c r="AM11">
        <v>1</v>
      </c>
      <c r="AN11">
        <f t="shared" si="2"/>
        <v>54</v>
      </c>
      <c r="AO11" t="str">
        <f t="shared" si="3"/>
        <v>12.2.---19.3.---7.4.</v>
      </c>
      <c r="AP11" t="str">
        <f t="shared" si="4"/>
        <v>Merihanhi</v>
      </c>
      <c r="AQ11" t="str">
        <f t="shared" si="10"/>
        <v>(12.2.---19.3.---7.4., 1/21)</v>
      </c>
    </row>
    <row r="12" spans="1:43" x14ac:dyDescent="0.2">
      <c r="A12" s="1"/>
      <c r="B12" s="9">
        <f t="shared" si="5"/>
        <v>9</v>
      </c>
      <c r="C12" s="10"/>
      <c r="D12" s="13" t="s">
        <v>382</v>
      </c>
      <c r="E12" s="14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1">
        <v>43588</v>
      </c>
      <c r="AA12" s="12">
        <v>43583</v>
      </c>
      <c r="AB12" s="11">
        <v>43680</v>
      </c>
      <c r="AC12" s="12">
        <v>43626</v>
      </c>
      <c r="AD12" s="34"/>
      <c r="AE12" s="33">
        <f t="shared" si="6"/>
        <v>43588</v>
      </c>
      <c r="AF12" s="33">
        <f t="shared" si="7"/>
        <v>43588</v>
      </c>
      <c r="AG12" s="33">
        <f t="shared" si="8"/>
        <v>43588</v>
      </c>
      <c r="AH12">
        <v>9</v>
      </c>
      <c r="AK12" s="36" t="str">
        <f t="shared" si="1"/>
        <v/>
      </c>
      <c r="AL12" t="str">
        <f t="shared" si="9"/>
        <v/>
      </c>
      <c r="AM12" t="s">
        <v>393</v>
      </c>
      <c r="AN12">
        <f t="shared" si="2"/>
        <v>0</v>
      </c>
      <c r="AO12" t="str">
        <f t="shared" si="3"/>
        <v>3.5.---3.5.---3.5.</v>
      </c>
      <c r="AP12" t="str">
        <f t="shared" si="4"/>
        <v>Tiibetinhanhi</v>
      </c>
      <c r="AQ12" t="str">
        <f t="shared" si="10"/>
        <v>(3.5.---3.5.---3.5.)</v>
      </c>
    </row>
    <row r="13" spans="1:43" x14ac:dyDescent="0.2">
      <c r="A13" s="1"/>
      <c r="B13" s="9">
        <f t="shared" si="5"/>
        <v>10</v>
      </c>
      <c r="C13" s="10"/>
      <c r="D13" s="9" t="s">
        <v>10</v>
      </c>
      <c r="E13" s="10"/>
      <c r="F13" s="11">
        <v>43550</v>
      </c>
      <c r="G13" s="12">
        <v>43561</v>
      </c>
      <c r="H13" s="11">
        <v>43554</v>
      </c>
      <c r="I13" s="12">
        <v>43552</v>
      </c>
      <c r="J13" s="11">
        <v>43559</v>
      </c>
      <c r="K13" s="12">
        <v>43559</v>
      </c>
      <c r="L13" s="11">
        <v>43569</v>
      </c>
      <c r="M13" s="12">
        <v>43551</v>
      </c>
      <c r="N13" s="11">
        <v>43556</v>
      </c>
      <c r="O13" s="12">
        <v>43561</v>
      </c>
      <c r="P13" s="11">
        <v>43566</v>
      </c>
      <c r="Q13" s="12">
        <v>43560</v>
      </c>
      <c r="R13" s="11">
        <v>43550</v>
      </c>
      <c r="S13" s="12">
        <v>43576</v>
      </c>
      <c r="T13" s="11">
        <v>43534</v>
      </c>
      <c r="U13" s="12">
        <v>43554</v>
      </c>
      <c r="V13" s="11">
        <v>43549</v>
      </c>
      <c r="W13" s="12">
        <v>43550</v>
      </c>
      <c r="X13" s="11">
        <v>43567</v>
      </c>
      <c r="Y13" s="12">
        <v>43554</v>
      </c>
      <c r="Z13" s="11">
        <v>43542</v>
      </c>
      <c r="AA13" s="12">
        <v>43552</v>
      </c>
      <c r="AB13" s="11">
        <v>43545</v>
      </c>
      <c r="AC13" s="12">
        <v>43564</v>
      </c>
      <c r="AD13" s="34"/>
      <c r="AE13" s="33">
        <f t="shared" si="6"/>
        <v>43534</v>
      </c>
      <c r="AF13" s="33">
        <f t="shared" si="7"/>
        <v>43554</v>
      </c>
      <c r="AG13" s="33">
        <f t="shared" si="8"/>
        <v>43576</v>
      </c>
      <c r="AH13">
        <v>10</v>
      </c>
      <c r="AK13" s="36" t="str">
        <f t="shared" si="1"/>
        <v/>
      </c>
      <c r="AL13" t="str">
        <f t="shared" si="9"/>
        <v/>
      </c>
      <c r="AM13" t="s">
        <v>393</v>
      </c>
      <c r="AN13">
        <f t="shared" si="2"/>
        <v>42</v>
      </c>
      <c r="AO13" t="str">
        <f t="shared" si="3"/>
        <v>10.3.---30.3.---21.4.</v>
      </c>
      <c r="AP13" t="str">
        <f t="shared" si="4"/>
        <v>Kanadanhanhi</v>
      </c>
      <c r="AQ13" t="str">
        <f t="shared" si="10"/>
        <v>(10.3.---30.3.---21.4.)</v>
      </c>
    </row>
    <row r="14" spans="1:43" x14ac:dyDescent="0.2">
      <c r="A14" s="1"/>
      <c r="B14" s="9">
        <f t="shared" si="5"/>
        <v>11</v>
      </c>
      <c r="C14" s="10"/>
      <c r="D14" s="15" t="s">
        <v>384</v>
      </c>
      <c r="E14" s="16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>
        <v>43571</v>
      </c>
      <c r="Z14" s="11"/>
      <c r="AA14" s="12">
        <v>43561</v>
      </c>
      <c r="AB14" s="11">
        <v>43717</v>
      </c>
      <c r="AC14" s="12">
        <v>43727</v>
      </c>
      <c r="AD14" s="34"/>
      <c r="AE14" s="33">
        <f t="shared" si="6"/>
        <v>43571</v>
      </c>
      <c r="AF14" s="33">
        <f t="shared" si="7"/>
        <v>43571</v>
      </c>
      <c r="AG14" s="33">
        <f t="shared" si="8"/>
        <v>43571</v>
      </c>
      <c r="AH14">
        <v>11</v>
      </c>
      <c r="AK14" s="36" t="str">
        <f t="shared" si="1"/>
        <v/>
      </c>
      <c r="AL14" t="str">
        <f t="shared" si="9"/>
        <v/>
      </c>
      <c r="AM14" t="s">
        <v>393</v>
      </c>
      <c r="AN14">
        <f t="shared" si="2"/>
        <v>0</v>
      </c>
      <c r="AO14" t="str">
        <f t="shared" si="3"/>
        <v>16.4.---16.4.---16.4.</v>
      </c>
      <c r="AP14" t="str">
        <f t="shared" si="4"/>
        <v>Pikkukanadanhanhi</v>
      </c>
      <c r="AQ14" t="str">
        <f t="shared" si="10"/>
        <v>(16.4.---16.4.---16.4.)</v>
      </c>
    </row>
    <row r="15" spans="1:43" x14ac:dyDescent="0.2">
      <c r="A15" s="1"/>
      <c r="B15" s="9">
        <f t="shared" si="5"/>
        <v>12</v>
      </c>
      <c r="C15" s="10"/>
      <c r="D15" s="9" t="s">
        <v>11</v>
      </c>
      <c r="E15" s="10"/>
      <c r="F15" s="11">
        <v>43582</v>
      </c>
      <c r="G15" s="12">
        <v>43574</v>
      </c>
      <c r="H15" s="11">
        <v>43575</v>
      </c>
      <c r="I15" s="12">
        <v>43570</v>
      </c>
      <c r="J15" s="11">
        <v>43572</v>
      </c>
      <c r="K15" s="12">
        <v>43568</v>
      </c>
      <c r="L15" s="11">
        <v>43571</v>
      </c>
      <c r="M15" s="12">
        <v>43577</v>
      </c>
      <c r="N15" s="11">
        <v>43571</v>
      </c>
      <c r="O15" s="12">
        <v>43581</v>
      </c>
      <c r="P15" s="11">
        <v>43571</v>
      </c>
      <c r="Q15" s="12">
        <v>43579</v>
      </c>
      <c r="R15" s="11">
        <v>43577</v>
      </c>
      <c r="S15" s="12">
        <v>43573</v>
      </c>
      <c r="T15" s="11">
        <v>43568</v>
      </c>
      <c r="U15" s="12">
        <v>43577</v>
      </c>
      <c r="V15" s="11">
        <v>43553</v>
      </c>
      <c r="W15" s="12">
        <v>43560</v>
      </c>
      <c r="X15" s="11">
        <v>43576</v>
      </c>
      <c r="Y15" s="12">
        <v>43560</v>
      </c>
      <c r="Z15" s="11">
        <v>43547</v>
      </c>
      <c r="AA15" s="12">
        <v>43557</v>
      </c>
      <c r="AB15" s="11">
        <v>43572</v>
      </c>
      <c r="AC15" s="12">
        <v>43567</v>
      </c>
      <c r="AD15" s="34"/>
      <c r="AE15" s="33">
        <f t="shared" si="6"/>
        <v>43547</v>
      </c>
      <c r="AF15" s="33">
        <f t="shared" si="7"/>
        <v>43572</v>
      </c>
      <c r="AG15" s="33">
        <f t="shared" si="8"/>
        <v>43582</v>
      </c>
      <c r="AH15">
        <v>12</v>
      </c>
      <c r="AK15" s="36" t="str">
        <f t="shared" si="1"/>
        <v/>
      </c>
      <c r="AL15" t="str">
        <f t="shared" si="9"/>
        <v/>
      </c>
      <c r="AM15" t="s">
        <v>393</v>
      </c>
      <c r="AN15">
        <f t="shared" si="2"/>
        <v>35</v>
      </c>
      <c r="AO15" t="str">
        <f t="shared" si="3"/>
        <v>23.3.---17.4.---27.4.</v>
      </c>
      <c r="AP15" t="str">
        <f t="shared" si="4"/>
        <v>Valkoposkihanhi</v>
      </c>
      <c r="AQ15" t="str">
        <f t="shared" si="10"/>
        <v>(23.3.---17.4.---27.4.)</v>
      </c>
    </row>
    <row r="16" spans="1:43" x14ac:dyDescent="0.2">
      <c r="A16" s="1"/>
      <c r="B16" s="9">
        <f t="shared" si="5"/>
        <v>13</v>
      </c>
      <c r="C16" s="10"/>
      <c r="D16" s="9" t="s">
        <v>12</v>
      </c>
      <c r="E16" s="10"/>
      <c r="F16" s="11">
        <v>43631</v>
      </c>
      <c r="G16" s="12">
        <v>43616</v>
      </c>
      <c r="H16" s="11">
        <v>43605</v>
      </c>
      <c r="I16" s="12">
        <v>43677</v>
      </c>
      <c r="J16" s="11">
        <v>43567</v>
      </c>
      <c r="K16" s="12">
        <v>43604</v>
      </c>
      <c r="L16" s="11">
        <v>43612</v>
      </c>
      <c r="M16" s="12">
        <v>43618</v>
      </c>
      <c r="N16" s="11">
        <v>43610</v>
      </c>
      <c r="O16" s="12">
        <v>43574</v>
      </c>
      <c r="P16" s="11">
        <v>43611</v>
      </c>
      <c r="Q16" s="12">
        <v>43579</v>
      </c>
      <c r="R16" s="11">
        <v>43598</v>
      </c>
      <c r="S16" s="12">
        <v>43633</v>
      </c>
      <c r="T16" s="11">
        <v>43601</v>
      </c>
      <c r="U16" s="12">
        <v>43606</v>
      </c>
      <c r="V16" s="11">
        <v>43605</v>
      </c>
      <c r="W16" s="12">
        <v>43598</v>
      </c>
      <c r="X16" s="11">
        <v>43574</v>
      </c>
      <c r="Y16" s="12">
        <v>43613</v>
      </c>
      <c r="Z16" s="11">
        <v>43607</v>
      </c>
      <c r="AA16" s="12">
        <v>43570</v>
      </c>
      <c r="AB16" s="11">
        <v>43613</v>
      </c>
      <c r="AC16" s="12">
        <v>43597</v>
      </c>
      <c r="AD16" s="34"/>
      <c r="AE16" s="33">
        <f t="shared" si="6"/>
        <v>43567</v>
      </c>
      <c r="AF16" s="33">
        <f t="shared" si="7"/>
        <v>43606</v>
      </c>
      <c r="AG16" s="33">
        <f t="shared" si="8"/>
        <v>43677</v>
      </c>
      <c r="AH16">
        <v>13</v>
      </c>
      <c r="AK16" s="36" t="str">
        <f t="shared" si="1"/>
        <v/>
      </c>
      <c r="AL16" t="str">
        <f t="shared" si="9"/>
        <v/>
      </c>
      <c r="AM16" t="s">
        <v>393</v>
      </c>
      <c r="AN16">
        <f t="shared" si="2"/>
        <v>110</v>
      </c>
      <c r="AO16" t="str">
        <f t="shared" si="3"/>
        <v>12.4.---21.5.---31.7.</v>
      </c>
      <c r="AP16" t="str">
        <f t="shared" si="4"/>
        <v>Sepelhanhi</v>
      </c>
      <c r="AQ16" t="str">
        <f t="shared" si="10"/>
        <v>(12.4.---21.5.---31.7.)</v>
      </c>
    </row>
    <row r="17" spans="1:43" x14ac:dyDescent="0.2">
      <c r="A17" s="1"/>
      <c r="B17" s="9">
        <f t="shared" si="5"/>
        <v>14</v>
      </c>
      <c r="C17" s="10"/>
      <c r="D17" s="13" t="s">
        <v>13</v>
      </c>
      <c r="E17" s="14"/>
      <c r="F17" s="11"/>
      <c r="G17" s="12"/>
      <c r="H17" s="11"/>
      <c r="I17" s="12"/>
      <c r="J17" s="11"/>
      <c r="K17" s="12">
        <v>43568</v>
      </c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>
        <v>43755</v>
      </c>
      <c r="Z17" s="11"/>
      <c r="AA17" s="12"/>
      <c r="AB17" s="11"/>
      <c r="AC17" s="12">
        <v>43584</v>
      </c>
      <c r="AD17" s="34"/>
      <c r="AE17" s="33">
        <f t="shared" si="6"/>
        <v>43568</v>
      </c>
      <c r="AF17" s="33">
        <f t="shared" si="7"/>
        <v>43661.5</v>
      </c>
      <c r="AG17" s="33">
        <f t="shared" si="8"/>
        <v>43755</v>
      </c>
      <c r="AH17">
        <v>14</v>
      </c>
      <c r="AK17" s="36" t="str">
        <f t="shared" si="1"/>
        <v/>
      </c>
      <c r="AL17" t="str">
        <f t="shared" si="9"/>
        <v/>
      </c>
      <c r="AM17" t="s">
        <v>393</v>
      </c>
      <c r="AN17">
        <f t="shared" si="2"/>
        <v>187</v>
      </c>
      <c r="AO17" t="str">
        <f t="shared" si="3"/>
        <v>13.4.---15.7.---17.10.</v>
      </c>
      <c r="AP17" t="str">
        <f t="shared" si="4"/>
        <v>Punakaulahanhi</v>
      </c>
      <c r="AQ17" t="str">
        <f t="shared" si="10"/>
        <v>(13.4.---15.7.---17.10.)</v>
      </c>
    </row>
    <row r="18" spans="1:43" x14ac:dyDescent="0.2">
      <c r="A18" s="1"/>
      <c r="B18" s="9">
        <f t="shared" si="5"/>
        <v>15</v>
      </c>
      <c r="C18" s="10"/>
      <c r="D18" s="13" t="s">
        <v>14</v>
      </c>
      <c r="E18" s="14"/>
      <c r="F18" s="11"/>
      <c r="G18" s="12"/>
      <c r="H18" s="11"/>
      <c r="I18" s="12">
        <v>43588</v>
      </c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>
        <v>43660</v>
      </c>
      <c r="U18" s="12">
        <v>43594</v>
      </c>
      <c r="V18" s="11">
        <v>43617</v>
      </c>
      <c r="W18" s="12">
        <v>43672</v>
      </c>
      <c r="X18" s="11">
        <v>43814</v>
      </c>
      <c r="Y18" s="12"/>
      <c r="Z18" s="11"/>
      <c r="AA18" s="12"/>
      <c r="AB18" s="11"/>
      <c r="AC18" s="12"/>
      <c r="AD18" s="34"/>
      <c r="AE18" s="33">
        <f t="shared" si="6"/>
        <v>43588</v>
      </c>
      <c r="AF18" s="33">
        <f t="shared" si="7"/>
        <v>43638.5</v>
      </c>
      <c r="AG18" s="33">
        <f t="shared" si="8"/>
        <v>43814</v>
      </c>
      <c r="AH18">
        <v>15</v>
      </c>
      <c r="AK18" s="36" t="str">
        <f t="shared" si="1"/>
        <v/>
      </c>
      <c r="AL18" t="str">
        <f t="shared" si="9"/>
        <v/>
      </c>
      <c r="AM18" t="s">
        <v>393</v>
      </c>
      <c r="AN18">
        <f t="shared" si="2"/>
        <v>226</v>
      </c>
      <c r="AO18" t="str">
        <f t="shared" si="3"/>
        <v>3.5.---22.6.---15.12.</v>
      </c>
      <c r="AP18" t="str">
        <f t="shared" si="4"/>
        <v>Ruostesorsa</v>
      </c>
      <c r="AQ18" t="str">
        <f t="shared" si="10"/>
        <v>(3.5.---22.6.---15.12.)</v>
      </c>
    </row>
    <row r="19" spans="1:43" x14ac:dyDescent="0.2">
      <c r="A19" s="1"/>
      <c r="B19" s="9">
        <f t="shared" si="5"/>
        <v>16</v>
      </c>
      <c r="C19" s="10"/>
      <c r="D19" s="9" t="s">
        <v>15</v>
      </c>
      <c r="E19" s="10"/>
      <c r="F19" s="11">
        <v>43555</v>
      </c>
      <c r="G19" s="12">
        <v>43562</v>
      </c>
      <c r="H19" s="11">
        <v>43559</v>
      </c>
      <c r="I19" s="12">
        <v>43570</v>
      </c>
      <c r="J19" s="11">
        <v>43560</v>
      </c>
      <c r="K19" s="12">
        <v>43558</v>
      </c>
      <c r="L19" s="11">
        <v>43563</v>
      </c>
      <c r="M19" s="12">
        <v>43553</v>
      </c>
      <c r="N19" s="11">
        <v>43557</v>
      </c>
      <c r="O19" s="12">
        <v>43563</v>
      </c>
      <c r="P19" s="11">
        <v>43560</v>
      </c>
      <c r="Q19" s="12">
        <v>43562</v>
      </c>
      <c r="R19" s="11">
        <v>43553</v>
      </c>
      <c r="S19" s="12">
        <v>43566</v>
      </c>
      <c r="T19" s="11">
        <v>43535</v>
      </c>
      <c r="U19" s="12">
        <v>43556</v>
      </c>
      <c r="V19" s="11">
        <v>43551</v>
      </c>
      <c r="W19" s="12">
        <v>43556</v>
      </c>
      <c r="X19" s="11">
        <v>43568</v>
      </c>
      <c r="Y19" s="12">
        <v>43557</v>
      </c>
      <c r="Z19" s="11">
        <v>43550</v>
      </c>
      <c r="AA19" s="12">
        <v>43559</v>
      </c>
      <c r="AB19" s="11">
        <v>43567</v>
      </c>
      <c r="AC19" s="12">
        <v>43565</v>
      </c>
      <c r="AD19" s="34"/>
      <c r="AE19" s="33">
        <f t="shared" si="6"/>
        <v>43535</v>
      </c>
      <c r="AF19" s="33">
        <f t="shared" si="7"/>
        <v>43558</v>
      </c>
      <c r="AG19" s="33">
        <f t="shared" si="8"/>
        <v>43570</v>
      </c>
      <c r="AH19">
        <v>16</v>
      </c>
      <c r="AK19" s="36" t="str">
        <f t="shared" si="1"/>
        <v/>
      </c>
      <c r="AL19" t="str">
        <f t="shared" si="9"/>
        <v/>
      </c>
      <c r="AM19" t="s">
        <v>393</v>
      </c>
      <c r="AN19">
        <f t="shared" si="2"/>
        <v>35</v>
      </c>
      <c r="AO19" t="str">
        <f t="shared" si="3"/>
        <v>11.3.---3.4.---15.4.</v>
      </c>
      <c r="AP19" t="str">
        <f t="shared" si="4"/>
        <v>Ristisorsa</v>
      </c>
      <c r="AQ19" t="str">
        <f t="shared" si="10"/>
        <v>(11.3.---3.4.---15.4.)</v>
      </c>
    </row>
    <row r="20" spans="1:43" x14ac:dyDescent="0.2">
      <c r="A20" s="1"/>
      <c r="B20" s="9">
        <f t="shared" si="5"/>
        <v>17</v>
      </c>
      <c r="C20" s="10"/>
      <c r="D20" s="13" t="s">
        <v>16</v>
      </c>
      <c r="E20" s="14"/>
      <c r="F20" s="11"/>
      <c r="G20" s="12"/>
      <c r="H20" s="11"/>
      <c r="I20" s="12"/>
      <c r="J20" s="11">
        <v>43576</v>
      </c>
      <c r="K20" s="12"/>
      <c r="L20" s="11"/>
      <c r="M20" s="12">
        <v>43581</v>
      </c>
      <c r="N20" s="11"/>
      <c r="O20" s="12"/>
      <c r="P20" s="11"/>
      <c r="Q20" s="12"/>
      <c r="R20" s="11">
        <v>43583</v>
      </c>
      <c r="S20" s="12"/>
      <c r="T20" s="11"/>
      <c r="U20" s="12">
        <v>43578</v>
      </c>
      <c r="V20" s="11"/>
      <c r="W20" s="12">
        <v>43589</v>
      </c>
      <c r="X20" s="11"/>
      <c r="Y20" s="12">
        <v>43583</v>
      </c>
      <c r="Z20" s="11">
        <v>43591</v>
      </c>
      <c r="AA20" s="12">
        <v>43580</v>
      </c>
      <c r="AB20" s="11">
        <v>43574</v>
      </c>
      <c r="AC20" s="12"/>
      <c r="AD20" s="34"/>
      <c r="AE20" s="33">
        <f t="shared" si="6"/>
        <v>43576</v>
      </c>
      <c r="AF20" s="33">
        <f t="shared" si="7"/>
        <v>43583</v>
      </c>
      <c r="AG20" s="33">
        <f t="shared" si="8"/>
        <v>43591</v>
      </c>
      <c r="AH20">
        <v>17</v>
      </c>
      <c r="AK20" s="36" t="str">
        <f t="shared" si="1"/>
        <v/>
      </c>
      <c r="AL20" t="str">
        <f t="shared" si="9"/>
        <v/>
      </c>
      <c r="AM20" t="s">
        <v>393</v>
      </c>
      <c r="AN20">
        <f t="shared" si="2"/>
        <v>15</v>
      </c>
      <c r="AO20" t="str">
        <f t="shared" si="3"/>
        <v>21.4.---28.4.---6.5.</v>
      </c>
      <c r="AP20" t="str">
        <f t="shared" si="4"/>
        <v>Mandariinisorsa</v>
      </c>
      <c r="AQ20" t="str">
        <f t="shared" si="10"/>
        <v>(21.4.---28.4.---6.5.)</v>
      </c>
    </row>
    <row r="21" spans="1:43" x14ac:dyDescent="0.2">
      <c r="A21" s="1"/>
      <c r="B21" s="9">
        <f t="shared" si="5"/>
        <v>18</v>
      </c>
      <c r="C21" s="10"/>
      <c r="D21" s="9" t="s">
        <v>17</v>
      </c>
      <c r="E21" s="10"/>
      <c r="F21" s="11">
        <f>IF(AG1,DATE(2019,1,6),DATE(2019,4,14))</f>
        <v>43569</v>
      </c>
      <c r="G21" s="12">
        <f>IF(AG1,DATE(2019,1,12),DATE(2019,4,7))</f>
        <v>43562</v>
      </c>
      <c r="H21" s="11">
        <v>43556</v>
      </c>
      <c r="I21" s="12">
        <v>43570</v>
      </c>
      <c r="J21" s="11">
        <v>43562</v>
      </c>
      <c r="K21" s="12">
        <v>43557</v>
      </c>
      <c r="L21" s="11">
        <v>43563</v>
      </c>
      <c r="M21" s="12">
        <v>43552</v>
      </c>
      <c r="N21" s="11">
        <f>IF(AG1,DATE(2019,1,11),DATE(2019,4,1))</f>
        <v>43556</v>
      </c>
      <c r="O21" s="12">
        <f>IF(AG1,DATE(2019,1,5),DATE(2019,4,12))</f>
        <v>43567</v>
      </c>
      <c r="P21" s="11">
        <v>43565</v>
      </c>
      <c r="Q21" s="12">
        <f>IF(AG1,DATE(2019,1,6),DATE(2019,4,8))</f>
        <v>43563</v>
      </c>
      <c r="R21" s="11">
        <f>IF(AG1,DATE(2019,1,1),DATE(2019,4,7))</f>
        <v>43562</v>
      </c>
      <c r="S21" s="12">
        <v>43571</v>
      </c>
      <c r="T21" s="11">
        <v>43537</v>
      </c>
      <c r="U21" s="12">
        <v>43553</v>
      </c>
      <c r="V21" s="11">
        <v>43552</v>
      </c>
      <c r="W21" s="12">
        <v>43559</v>
      </c>
      <c r="X21" s="11">
        <v>43569</v>
      </c>
      <c r="Y21" s="12">
        <v>43558</v>
      </c>
      <c r="Z21" s="11">
        <v>43542</v>
      </c>
      <c r="AA21" s="12">
        <f>IF(AG1,DATE(2019,1,5),DATE(2019,4,2))</f>
        <v>43557</v>
      </c>
      <c r="AB21" s="11">
        <v>43547</v>
      </c>
      <c r="AC21" s="12">
        <v>43466</v>
      </c>
      <c r="AD21" s="34"/>
      <c r="AE21" s="33">
        <f t="shared" si="6"/>
        <v>43537</v>
      </c>
      <c r="AF21" s="33">
        <f t="shared" si="7"/>
        <v>43562</v>
      </c>
      <c r="AG21" s="33">
        <f t="shared" si="8"/>
        <v>43571</v>
      </c>
      <c r="AH21">
        <v>18</v>
      </c>
      <c r="AK21" s="36" t="str">
        <f t="shared" si="1"/>
        <v/>
      </c>
      <c r="AL21" t="str">
        <f t="shared" si="9"/>
        <v/>
      </c>
      <c r="AM21">
        <v>6</v>
      </c>
      <c r="AN21">
        <f t="shared" si="2"/>
        <v>34</v>
      </c>
      <c r="AO21" t="str">
        <f t="shared" si="3"/>
        <v>13.3.---7.4.---16.4.</v>
      </c>
      <c r="AP21" t="str">
        <f t="shared" si="4"/>
        <v>Haapana</v>
      </c>
      <c r="AQ21" t="str">
        <f t="shared" si="10"/>
        <v>(13.3.---7.4.---16.4., 6/21)</v>
      </c>
    </row>
    <row r="22" spans="1:43" x14ac:dyDescent="0.2">
      <c r="A22" s="1"/>
      <c r="B22" s="9">
        <f t="shared" si="5"/>
        <v>19</v>
      </c>
      <c r="C22" s="10"/>
      <c r="D22" s="15" t="s">
        <v>18</v>
      </c>
      <c r="E22" s="16"/>
      <c r="F22" s="11"/>
      <c r="G22" s="12"/>
      <c r="H22" s="11"/>
      <c r="I22" s="12">
        <v>43592</v>
      </c>
      <c r="J22" s="11">
        <v>43585</v>
      </c>
      <c r="K22" s="12"/>
      <c r="L22" s="11"/>
      <c r="M22" s="12"/>
      <c r="N22" s="11"/>
      <c r="O22" s="12"/>
      <c r="P22" s="11"/>
      <c r="Q22" s="12"/>
      <c r="R22" s="11"/>
      <c r="S22" s="12">
        <v>43714</v>
      </c>
      <c r="T22" s="11">
        <v>43573</v>
      </c>
      <c r="U22" s="12">
        <v>43626</v>
      </c>
      <c r="V22" s="11"/>
      <c r="W22" s="12"/>
      <c r="X22" s="11"/>
      <c r="Y22" s="12"/>
      <c r="Z22" s="11"/>
      <c r="AA22" s="12"/>
      <c r="AB22" s="11"/>
      <c r="AC22" s="12"/>
      <c r="AD22" s="34"/>
      <c r="AE22" s="33">
        <f t="shared" si="6"/>
        <v>43573</v>
      </c>
      <c r="AF22" s="33">
        <f t="shared" si="7"/>
        <v>43592</v>
      </c>
      <c r="AG22" s="33">
        <f t="shared" si="8"/>
        <v>43714</v>
      </c>
      <c r="AH22">
        <v>19</v>
      </c>
      <c r="AK22" s="36" t="str">
        <f t="shared" si="1"/>
        <v/>
      </c>
      <c r="AL22" t="str">
        <f t="shared" si="9"/>
        <v/>
      </c>
      <c r="AM22" t="s">
        <v>393</v>
      </c>
      <c r="AN22">
        <f t="shared" si="2"/>
        <v>141</v>
      </c>
      <c r="AO22" t="str">
        <f t="shared" si="3"/>
        <v>18.4.---7.5.---6.9.</v>
      </c>
      <c r="AP22" t="str">
        <f t="shared" si="4"/>
        <v>Amerikanhaapana</v>
      </c>
      <c r="AQ22" t="str">
        <f t="shared" si="10"/>
        <v>(18.4.---7.5.---6.9.)</v>
      </c>
    </row>
    <row r="23" spans="1:43" x14ac:dyDescent="0.2">
      <c r="A23" s="1"/>
      <c r="B23" s="9">
        <f t="shared" si="5"/>
        <v>20</v>
      </c>
      <c r="C23" s="10"/>
      <c r="D23" s="9" t="s">
        <v>19</v>
      </c>
      <c r="E23" s="10"/>
      <c r="F23" s="11">
        <v>43574</v>
      </c>
      <c r="G23" s="12">
        <v>43575</v>
      </c>
      <c r="H23" s="11">
        <v>43579</v>
      </c>
      <c r="I23" s="12">
        <v>43574</v>
      </c>
      <c r="J23" s="11">
        <v>43569</v>
      </c>
      <c r="K23" s="12">
        <v>43581</v>
      </c>
      <c r="L23" s="11">
        <v>43580</v>
      </c>
      <c r="M23" s="12">
        <v>43568</v>
      </c>
      <c r="N23" s="11">
        <v>43578</v>
      </c>
      <c r="O23" s="12">
        <v>43579</v>
      </c>
      <c r="P23" s="11">
        <v>43573</v>
      </c>
      <c r="Q23" s="12">
        <v>43574</v>
      </c>
      <c r="R23" s="11">
        <v>43571</v>
      </c>
      <c r="S23" s="12">
        <v>43579</v>
      </c>
      <c r="T23" s="11">
        <v>43560</v>
      </c>
      <c r="U23" s="12">
        <v>43564</v>
      </c>
      <c r="V23" s="11">
        <v>43565</v>
      </c>
      <c r="W23" s="12">
        <v>43565</v>
      </c>
      <c r="X23" s="11">
        <v>43575</v>
      </c>
      <c r="Y23" s="12">
        <v>43569</v>
      </c>
      <c r="Z23" s="11">
        <v>43562</v>
      </c>
      <c r="AA23" s="12">
        <v>43569</v>
      </c>
      <c r="AB23" s="11">
        <v>43571</v>
      </c>
      <c r="AC23" s="12">
        <v>43574</v>
      </c>
      <c r="AD23" s="34"/>
      <c r="AE23" s="33">
        <f t="shared" si="6"/>
        <v>43560</v>
      </c>
      <c r="AF23" s="33">
        <f t="shared" si="7"/>
        <v>43574</v>
      </c>
      <c r="AG23" s="33">
        <f t="shared" si="8"/>
        <v>43581</v>
      </c>
      <c r="AH23">
        <v>20</v>
      </c>
      <c r="AK23" s="36" t="str">
        <f t="shared" si="1"/>
        <v/>
      </c>
      <c r="AL23" t="str">
        <f t="shared" si="9"/>
        <v/>
      </c>
      <c r="AM23" t="s">
        <v>393</v>
      </c>
      <c r="AN23">
        <f t="shared" si="2"/>
        <v>21</v>
      </c>
      <c r="AO23" t="str">
        <f t="shared" si="3"/>
        <v>5.4.---19.4.---26.4.</v>
      </c>
      <c r="AP23" t="str">
        <f t="shared" si="4"/>
        <v>Harmaasorsa</v>
      </c>
      <c r="AQ23" t="str">
        <f t="shared" si="10"/>
        <v>(5.4.---19.4.---26.4.)</v>
      </c>
    </row>
    <row r="24" spans="1:43" x14ac:dyDescent="0.2">
      <c r="A24" s="1"/>
      <c r="B24" s="9">
        <f t="shared" si="5"/>
        <v>21</v>
      </c>
      <c r="C24" s="10"/>
      <c r="D24" s="9" t="s">
        <v>20</v>
      </c>
      <c r="E24" s="10"/>
      <c r="F24" s="11">
        <f>IF(AG1,DATE(2019,1,3),DATE(2019,4,13))</f>
        <v>43568</v>
      </c>
      <c r="G24" s="12">
        <f>IF(AG1,DATE(2019,1,12),DATE(2019,4,7))</f>
        <v>43562</v>
      </c>
      <c r="H24" s="11">
        <v>43560</v>
      </c>
      <c r="I24" s="12">
        <v>43570</v>
      </c>
      <c r="J24" s="11">
        <v>43564</v>
      </c>
      <c r="K24" s="12">
        <v>43558</v>
      </c>
      <c r="L24" s="11">
        <v>43569</v>
      </c>
      <c r="M24" s="12">
        <f>IF(AG1,DATE(2019,1,2),DATE(2019,3,30))</f>
        <v>43554</v>
      </c>
      <c r="N24" s="11">
        <v>43556</v>
      </c>
      <c r="O24" s="12">
        <f>IF(AG1,DATE(2019,1,9),DATE(2019,3,31))</f>
        <v>43555</v>
      </c>
      <c r="P24" s="11">
        <f>IF(AG1,DATE(2019,1,1),DATE(2019,4,10))</f>
        <v>43565</v>
      </c>
      <c r="Q24" s="12">
        <v>43559</v>
      </c>
      <c r="R24" s="11">
        <f>IF(AG1,DATE(2019,1,1),DATE(2019,4,12))</f>
        <v>43567</v>
      </c>
      <c r="S24" s="12">
        <f>IF(AG1,DATE(2019,1,19),DATE(2019,4,17))</f>
        <v>43572</v>
      </c>
      <c r="T24" s="11">
        <v>43537</v>
      </c>
      <c r="U24" s="12">
        <v>43560</v>
      </c>
      <c r="V24" s="11">
        <v>43558</v>
      </c>
      <c r="W24" s="12">
        <v>43565</v>
      </c>
      <c r="X24" s="11">
        <f>IF(AG1,DATE(2019,1,14),DATE(2019,4,20))</f>
        <v>43575</v>
      </c>
      <c r="Y24" s="12">
        <f>IF(AG1,DATE(2019,1,2),DATE(2019,3,23))</f>
        <v>43547</v>
      </c>
      <c r="Z24" s="11">
        <v>43550</v>
      </c>
      <c r="AA24" s="12">
        <f>IF(AG1,DATE(2019,1,22),DATE(2019,3,31))</f>
        <v>43555</v>
      </c>
      <c r="AB24" s="11">
        <v>43569</v>
      </c>
      <c r="AC24" s="12">
        <v>43466</v>
      </c>
      <c r="AD24" s="34"/>
      <c r="AE24" s="33">
        <f t="shared" si="6"/>
        <v>43537</v>
      </c>
      <c r="AF24" s="33">
        <f t="shared" si="7"/>
        <v>43560</v>
      </c>
      <c r="AG24" s="33">
        <f t="shared" si="8"/>
        <v>43575</v>
      </c>
      <c r="AH24">
        <v>22</v>
      </c>
      <c r="AK24" s="36" t="str">
        <f t="shared" si="1"/>
        <v/>
      </c>
      <c r="AL24" t="str">
        <f t="shared" si="9"/>
        <v/>
      </c>
      <c r="AM24">
        <v>9</v>
      </c>
      <c r="AN24">
        <f t="shared" si="2"/>
        <v>38</v>
      </c>
      <c r="AO24" t="str">
        <f t="shared" si="3"/>
        <v>13.3.---5.4.---20.4.</v>
      </c>
      <c r="AP24" t="str">
        <f t="shared" si="4"/>
        <v>Tavi</v>
      </c>
      <c r="AQ24" t="str">
        <f t="shared" si="10"/>
        <v>(13.3.---5.4.---20.4., 9/21)</v>
      </c>
    </row>
    <row r="25" spans="1:43" x14ac:dyDescent="0.2">
      <c r="A25" s="1"/>
      <c r="B25" s="9">
        <f t="shared" si="5"/>
        <v>22</v>
      </c>
      <c r="C25" s="10"/>
      <c r="D25" s="15" t="s">
        <v>21</v>
      </c>
      <c r="E25" s="16"/>
      <c r="F25" s="11"/>
      <c r="G25" s="12"/>
      <c r="H25" s="11"/>
      <c r="I25" s="12"/>
      <c r="J25" s="11">
        <v>43583</v>
      </c>
      <c r="K25" s="12">
        <v>43585</v>
      </c>
      <c r="L25" s="11">
        <v>43589</v>
      </c>
      <c r="M25" s="12">
        <v>43576</v>
      </c>
      <c r="N25" s="11"/>
      <c r="O25" s="12"/>
      <c r="P25" s="11"/>
      <c r="Q25" s="12">
        <v>43606</v>
      </c>
      <c r="R25" s="11"/>
      <c r="S25" s="12"/>
      <c r="T25" s="11"/>
      <c r="U25" s="12">
        <v>43593</v>
      </c>
      <c r="V25" s="11"/>
      <c r="W25" s="12">
        <v>43603</v>
      </c>
      <c r="X25" s="11">
        <v>43590</v>
      </c>
      <c r="Y25" s="12"/>
      <c r="Z25" s="11">
        <v>43599</v>
      </c>
      <c r="AA25" s="12"/>
      <c r="AB25" s="11"/>
      <c r="AC25" s="12">
        <v>43584</v>
      </c>
      <c r="AD25" s="34"/>
      <c r="AE25" s="33">
        <f t="shared" si="6"/>
        <v>43576</v>
      </c>
      <c r="AF25" s="33">
        <f t="shared" si="7"/>
        <v>43590</v>
      </c>
      <c r="AG25" s="33">
        <f t="shared" si="8"/>
        <v>43606</v>
      </c>
      <c r="AH25">
        <v>23</v>
      </c>
      <c r="AK25" s="36" t="str">
        <f t="shared" si="1"/>
        <v/>
      </c>
      <c r="AL25" t="str">
        <f t="shared" si="9"/>
        <v/>
      </c>
      <c r="AM25" t="s">
        <v>393</v>
      </c>
      <c r="AN25">
        <f t="shared" si="2"/>
        <v>30</v>
      </c>
      <c r="AO25" t="str">
        <f t="shared" si="3"/>
        <v>21.4.---5.5.---21.5.</v>
      </c>
      <c r="AP25" t="str">
        <f t="shared" si="4"/>
        <v>Amerikantavi</v>
      </c>
      <c r="AQ25" t="str">
        <f t="shared" si="10"/>
        <v>(21.4.---5.5.---21.5.)</v>
      </c>
    </row>
    <row r="26" spans="1:43" x14ac:dyDescent="0.2">
      <c r="A26" s="1"/>
      <c r="B26" s="9">
        <f t="shared" si="5"/>
        <v>23</v>
      </c>
      <c r="C26" s="10"/>
      <c r="D26" s="9" t="s">
        <v>22</v>
      </c>
      <c r="E26" s="10"/>
      <c r="F26" s="11">
        <v>43466</v>
      </c>
      <c r="G26" s="12">
        <v>43466</v>
      </c>
      <c r="H26" s="11">
        <v>43466</v>
      </c>
      <c r="I26" s="12">
        <v>43466</v>
      </c>
      <c r="J26" s="11">
        <v>43466</v>
      </c>
      <c r="K26" s="12">
        <f>IF(AG1,DATE(2019,1,1),DATE(2019,3,25))</f>
        <v>43549</v>
      </c>
      <c r="L26" s="11">
        <f>IF(AG1,DATE(2019,1,1),DATE(2019,4,5))</f>
        <v>43560</v>
      </c>
      <c r="M26" s="12">
        <v>43466</v>
      </c>
      <c r="N26" s="11">
        <v>43466</v>
      </c>
      <c r="O26" s="12">
        <v>43466</v>
      </c>
      <c r="P26" s="11">
        <v>43466</v>
      </c>
      <c r="Q26" s="12">
        <v>43466</v>
      </c>
      <c r="R26" s="11">
        <v>43466</v>
      </c>
      <c r="S26" s="12">
        <v>43466</v>
      </c>
      <c r="T26" s="11">
        <v>43466</v>
      </c>
      <c r="U26" s="12">
        <v>43466</v>
      </c>
      <c r="V26" s="11">
        <v>43466</v>
      </c>
      <c r="W26" s="12">
        <v>43466</v>
      </c>
      <c r="X26" s="11">
        <f>IF(AG1,DATE(2019,1,1),DATE(2019,3,17))</f>
        <v>43541</v>
      </c>
      <c r="Y26" s="12">
        <v>43466</v>
      </c>
      <c r="Z26" s="11">
        <v>43466</v>
      </c>
      <c r="AA26" s="12">
        <v>43466</v>
      </c>
      <c r="AB26" s="11">
        <v>43466</v>
      </c>
      <c r="AC26" s="12">
        <v>43466</v>
      </c>
      <c r="AD26" s="34"/>
      <c r="AE26" s="33">
        <f t="shared" si="6"/>
        <v>43466</v>
      </c>
      <c r="AF26" s="33">
        <f t="shared" si="7"/>
        <v>43466</v>
      </c>
      <c r="AG26" s="33">
        <f t="shared" si="8"/>
        <v>43560</v>
      </c>
      <c r="AH26">
        <v>24</v>
      </c>
      <c r="AK26" s="36" t="str">
        <f t="shared" si="1"/>
        <v/>
      </c>
      <c r="AL26">
        <f t="shared" si="9"/>
        <v>18</v>
      </c>
      <c r="AM26">
        <v>21</v>
      </c>
      <c r="AN26">
        <f t="shared" si="2"/>
        <v>94</v>
      </c>
      <c r="AO26" t="str">
        <f t="shared" si="3"/>
        <v>1.1.---1.1.---5.4.</v>
      </c>
      <c r="AP26" t="str">
        <f t="shared" si="4"/>
        <v>Sinisorsa</v>
      </c>
      <c r="AQ26" t="str">
        <f t="shared" si="10"/>
        <v>(1.1.---1.1.---5.4., 21/21)</v>
      </c>
    </row>
    <row r="27" spans="1:43" x14ac:dyDescent="0.2">
      <c r="A27" s="1"/>
      <c r="B27" s="9">
        <f t="shared" si="5"/>
        <v>24</v>
      </c>
      <c r="C27" s="10"/>
      <c r="D27" s="9" t="s">
        <v>23</v>
      </c>
      <c r="E27" s="10"/>
      <c r="F27" s="11">
        <v>43571</v>
      </c>
      <c r="G27" s="12">
        <v>43563</v>
      </c>
      <c r="H27" s="11">
        <v>43555</v>
      </c>
      <c r="I27" s="12">
        <v>43571</v>
      </c>
      <c r="J27" s="11">
        <v>43564</v>
      </c>
      <c r="K27" s="12">
        <v>43564</v>
      </c>
      <c r="L27" s="11">
        <v>43572</v>
      </c>
      <c r="M27" s="12">
        <v>43552</v>
      </c>
      <c r="N27" s="11">
        <v>43561</v>
      </c>
      <c r="O27" s="12">
        <v>43567</v>
      </c>
      <c r="P27" s="11">
        <v>43567</v>
      </c>
      <c r="Q27" s="12">
        <v>43570</v>
      </c>
      <c r="R27" s="11">
        <v>43569</v>
      </c>
      <c r="S27" s="12">
        <v>43573</v>
      </c>
      <c r="T27" s="11">
        <v>43556</v>
      </c>
      <c r="U27" s="12">
        <v>43556</v>
      </c>
      <c r="V27" s="11">
        <v>43552</v>
      </c>
      <c r="W27" s="12">
        <v>43561</v>
      </c>
      <c r="X27" s="11">
        <v>43557</v>
      </c>
      <c r="Y27" s="12">
        <v>43562</v>
      </c>
      <c r="Z27" s="11">
        <v>43551</v>
      </c>
      <c r="AA27" s="12">
        <v>43559</v>
      </c>
      <c r="AB27" s="11">
        <v>43571</v>
      </c>
      <c r="AC27" s="12">
        <v>43568</v>
      </c>
      <c r="AD27" s="34"/>
      <c r="AE27" s="33">
        <f t="shared" si="6"/>
        <v>43551</v>
      </c>
      <c r="AF27" s="33">
        <f t="shared" si="7"/>
        <v>43563</v>
      </c>
      <c r="AG27" s="33">
        <f t="shared" si="8"/>
        <v>43573</v>
      </c>
      <c r="AH27">
        <v>26</v>
      </c>
      <c r="AK27" s="36" t="str">
        <f t="shared" si="1"/>
        <v/>
      </c>
      <c r="AL27" t="str">
        <f t="shared" si="9"/>
        <v/>
      </c>
      <c r="AM27" t="s">
        <v>393</v>
      </c>
      <c r="AN27">
        <f t="shared" si="2"/>
        <v>22</v>
      </c>
      <c r="AO27" t="str">
        <f t="shared" si="3"/>
        <v>27.3.---8.4.---18.4.</v>
      </c>
      <c r="AP27" t="str">
        <f t="shared" si="4"/>
        <v>Jouhisorsa</v>
      </c>
      <c r="AQ27" t="str">
        <f t="shared" si="10"/>
        <v>(27.3.---8.4.---18.4.)</v>
      </c>
    </row>
    <row r="28" spans="1:43" x14ac:dyDescent="0.2">
      <c r="A28" s="1"/>
      <c r="B28" s="9">
        <f t="shared" si="5"/>
        <v>25</v>
      </c>
      <c r="C28" s="10"/>
      <c r="D28" s="9" t="s">
        <v>24</v>
      </c>
      <c r="E28" s="10"/>
      <c r="F28" s="11">
        <v>43579</v>
      </c>
      <c r="G28" s="12">
        <v>43583</v>
      </c>
      <c r="H28" s="11">
        <v>43582</v>
      </c>
      <c r="I28" s="12">
        <v>43580</v>
      </c>
      <c r="J28" s="11">
        <v>43571</v>
      </c>
      <c r="K28" s="12">
        <v>43582</v>
      </c>
      <c r="L28" s="11">
        <v>43576</v>
      </c>
      <c r="M28" s="12">
        <v>43572</v>
      </c>
      <c r="N28" s="11">
        <v>43580</v>
      </c>
      <c r="O28" s="12">
        <v>43578</v>
      </c>
      <c r="P28" s="11">
        <v>43586</v>
      </c>
      <c r="Q28" s="12">
        <v>43573</v>
      </c>
      <c r="R28" s="11">
        <v>43580</v>
      </c>
      <c r="S28" s="12">
        <v>43581</v>
      </c>
      <c r="T28" s="11">
        <v>43568</v>
      </c>
      <c r="U28" s="12">
        <v>43557</v>
      </c>
      <c r="V28" s="11">
        <v>43564</v>
      </c>
      <c r="W28" s="12">
        <v>43581</v>
      </c>
      <c r="X28" s="11">
        <v>43581</v>
      </c>
      <c r="Y28" s="12">
        <v>43576</v>
      </c>
      <c r="Z28" s="11">
        <v>43576</v>
      </c>
      <c r="AA28" s="12">
        <v>43574</v>
      </c>
      <c r="AB28" s="11">
        <v>43579</v>
      </c>
      <c r="AC28" s="12">
        <v>43576</v>
      </c>
      <c r="AD28" s="34"/>
      <c r="AE28" s="33">
        <f t="shared" si="6"/>
        <v>43557</v>
      </c>
      <c r="AF28" s="33">
        <f t="shared" si="7"/>
        <v>43579</v>
      </c>
      <c r="AG28" s="33">
        <f t="shared" si="8"/>
        <v>43586</v>
      </c>
      <c r="AH28">
        <v>27</v>
      </c>
      <c r="AK28" s="36" t="str">
        <f t="shared" si="1"/>
        <v/>
      </c>
      <c r="AL28" t="str">
        <f t="shared" si="9"/>
        <v/>
      </c>
      <c r="AM28" t="s">
        <v>393</v>
      </c>
      <c r="AN28">
        <f t="shared" si="2"/>
        <v>29</v>
      </c>
      <c r="AO28" t="str">
        <f t="shared" si="3"/>
        <v>2.4.---24.4.---1.5.</v>
      </c>
      <c r="AP28" t="str">
        <f t="shared" si="4"/>
        <v>Heinätavi</v>
      </c>
      <c r="AQ28" t="str">
        <f t="shared" si="10"/>
        <v>(2.4.---24.4.---1.5.)</v>
      </c>
    </row>
    <row r="29" spans="1:43" x14ac:dyDescent="0.2">
      <c r="A29" s="1"/>
      <c r="B29" s="9">
        <f t="shared" si="5"/>
        <v>26</v>
      </c>
      <c r="C29" s="10"/>
      <c r="D29" s="15" t="s">
        <v>25</v>
      </c>
      <c r="E29" s="16"/>
      <c r="F29" s="11"/>
      <c r="G29" s="12"/>
      <c r="H29" s="11"/>
      <c r="I29" s="12"/>
      <c r="J29" s="11">
        <v>43589</v>
      </c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11"/>
      <c r="W29" s="12">
        <v>43607</v>
      </c>
      <c r="X29" s="11"/>
      <c r="Y29" s="12"/>
      <c r="Z29" s="11"/>
      <c r="AA29" s="12"/>
      <c r="AB29" s="11"/>
      <c r="AC29" s="12"/>
      <c r="AD29" s="34"/>
      <c r="AE29" s="33">
        <f t="shared" si="6"/>
        <v>43589</v>
      </c>
      <c r="AF29" s="33">
        <f t="shared" si="7"/>
        <v>43598</v>
      </c>
      <c r="AG29" s="33">
        <f t="shared" si="8"/>
        <v>43607</v>
      </c>
      <c r="AH29">
        <v>28</v>
      </c>
      <c r="AK29" s="36" t="str">
        <f t="shared" si="1"/>
        <v/>
      </c>
      <c r="AL29" t="str">
        <f t="shared" si="9"/>
        <v/>
      </c>
      <c r="AM29" t="s">
        <v>393</v>
      </c>
      <c r="AN29">
        <f t="shared" si="2"/>
        <v>18</v>
      </c>
      <c r="AO29" t="str">
        <f t="shared" si="3"/>
        <v>4.5.---13.5.---22.5.</v>
      </c>
      <c r="AP29" t="str">
        <f t="shared" si="4"/>
        <v>Sinisiipitavi</v>
      </c>
      <c r="AQ29" t="str">
        <f t="shared" si="10"/>
        <v>(4.5.---13.5.---22.5.)</v>
      </c>
    </row>
    <row r="30" spans="1:43" x14ac:dyDescent="0.2">
      <c r="A30" s="1"/>
      <c r="B30" s="9">
        <f t="shared" si="5"/>
        <v>27</v>
      </c>
      <c r="C30" s="10"/>
      <c r="D30" s="9" t="s">
        <v>26</v>
      </c>
      <c r="E30" s="10"/>
      <c r="F30" s="11">
        <v>43572</v>
      </c>
      <c r="G30" s="12">
        <v>43563</v>
      </c>
      <c r="H30" s="11">
        <v>43576</v>
      </c>
      <c r="I30" s="12">
        <v>43572</v>
      </c>
      <c r="J30" s="11">
        <v>43572</v>
      </c>
      <c r="K30" s="12">
        <v>43569</v>
      </c>
      <c r="L30" s="11">
        <v>43576</v>
      </c>
      <c r="M30" s="12">
        <v>43554</v>
      </c>
      <c r="N30" s="11">
        <v>43575</v>
      </c>
      <c r="O30" s="12">
        <v>43577</v>
      </c>
      <c r="P30" s="11">
        <v>43575</v>
      </c>
      <c r="Q30" s="12">
        <v>43571</v>
      </c>
      <c r="R30" s="11">
        <v>43575</v>
      </c>
      <c r="S30" s="12">
        <v>43575</v>
      </c>
      <c r="T30" s="11">
        <v>43567</v>
      </c>
      <c r="U30" s="12">
        <v>43566</v>
      </c>
      <c r="V30" s="11">
        <v>43569</v>
      </c>
      <c r="W30" s="12">
        <v>43580</v>
      </c>
      <c r="X30" s="11">
        <v>43578</v>
      </c>
      <c r="Y30" s="12">
        <v>43574</v>
      </c>
      <c r="Z30" s="11">
        <v>43569</v>
      </c>
      <c r="AA30" s="12">
        <v>43574</v>
      </c>
      <c r="AB30" s="11">
        <v>43582</v>
      </c>
      <c r="AC30" s="12">
        <v>43575</v>
      </c>
      <c r="AD30" s="34"/>
      <c r="AE30" s="33">
        <f t="shared" si="6"/>
        <v>43554</v>
      </c>
      <c r="AF30" s="33">
        <f t="shared" si="7"/>
        <v>43572</v>
      </c>
      <c r="AG30" s="33">
        <f t="shared" si="8"/>
        <v>43580</v>
      </c>
      <c r="AH30">
        <v>29</v>
      </c>
      <c r="AK30" s="36" t="str">
        <f t="shared" si="1"/>
        <v/>
      </c>
      <c r="AL30" t="str">
        <f t="shared" si="9"/>
        <v/>
      </c>
      <c r="AM30" t="s">
        <v>393</v>
      </c>
      <c r="AN30">
        <f t="shared" si="2"/>
        <v>26</v>
      </c>
      <c r="AO30" t="str">
        <f t="shared" si="3"/>
        <v>30.3.---17.4.---25.4.</v>
      </c>
      <c r="AP30" t="str">
        <f t="shared" si="4"/>
        <v>Lapasorsa</v>
      </c>
      <c r="AQ30" t="str">
        <f t="shared" si="10"/>
        <v>(30.3.---17.4.---25.4.)</v>
      </c>
    </row>
    <row r="31" spans="1:43" x14ac:dyDescent="0.2">
      <c r="A31" s="1"/>
      <c r="B31" s="9">
        <f t="shared" si="5"/>
        <v>28</v>
      </c>
      <c r="C31" s="10"/>
      <c r="D31" s="15" t="s">
        <v>27</v>
      </c>
      <c r="E31" s="16"/>
      <c r="F31" s="11"/>
      <c r="G31" s="12"/>
      <c r="H31" s="11"/>
      <c r="I31" s="12"/>
      <c r="J31" s="11"/>
      <c r="K31" s="12"/>
      <c r="L31" s="11"/>
      <c r="M31" s="12">
        <v>43578</v>
      </c>
      <c r="N31" s="11"/>
      <c r="O31" s="12"/>
      <c r="P31" s="11"/>
      <c r="Q31" s="12"/>
      <c r="R31" s="11"/>
      <c r="S31" s="12"/>
      <c r="T31" s="11"/>
      <c r="U31" s="12">
        <v>43582</v>
      </c>
      <c r="V31" s="11"/>
      <c r="W31" s="12"/>
      <c r="X31" s="11"/>
      <c r="Y31" s="12"/>
      <c r="Z31" s="11"/>
      <c r="AA31" s="12"/>
      <c r="AB31" s="11"/>
      <c r="AC31" s="12"/>
      <c r="AD31" s="34"/>
      <c r="AE31" s="33">
        <f t="shared" si="6"/>
        <v>43578</v>
      </c>
      <c r="AF31" s="33">
        <f t="shared" si="7"/>
        <v>43580</v>
      </c>
      <c r="AG31" s="33">
        <f t="shared" si="8"/>
        <v>43582</v>
      </c>
      <c r="AH31">
        <v>30</v>
      </c>
      <c r="AK31" s="36" t="str">
        <f t="shared" si="1"/>
        <v/>
      </c>
      <c r="AL31" t="str">
        <f t="shared" si="9"/>
        <v/>
      </c>
      <c r="AM31" t="s">
        <v>393</v>
      </c>
      <c r="AN31">
        <f t="shared" si="2"/>
        <v>4</v>
      </c>
      <c r="AO31" t="str">
        <f t="shared" si="3"/>
        <v>23.4.---25.4.---27.4.</v>
      </c>
      <c r="AP31" t="str">
        <f t="shared" si="4"/>
        <v>Punapäänarsku</v>
      </c>
      <c r="AQ31" t="str">
        <f t="shared" si="10"/>
        <v>(23.4.---25.4.---27.4.)</v>
      </c>
    </row>
    <row r="32" spans="1:43" x14ac:dyDescent="0.2">
      <c r="A32" s="1"/>
      <c r="B32" s="9">
        <f t="shared" si="5"/>
        <v>29</v>
      </c>
      <c r="C32" s="10"/>
      <c r="D32" s="9" t="s">
        <v>28</v>
      </c>
      <c r="E32" s="10"/>
      <c r="F32" s="11">
        <v>43568</v>
      </c>
      <c r="G32" s="12">
        <v>43556</v>
      </c>
      <c r="H32" s="11">
        <v>43579</v>
      </c>
      <c r="I32" s="12">
        <v>43580</v>
      </c>
      <c r="J32" s="11">
        <v>43564</v>
      </c>
      <c r="K32" s="12">
        <v>43579</v>
      </c>
      <c r="L32" s="11">
        <v>43581</v>
      </c>
      <c r="M32" s="12">
        <v>43567</v>
      </c>
      <c r="N32" s="11">
        <v>43561</v>
      </c>
      <c r="O32" s="12">
        <v>43568</v>
      </c>
      <c r="P32" s="11">
        <v>43575</v>
      </c>
      <c r="Q32" s="12">
        <v>43562</v>
      </c>
      <c r="R32" s="11">
        <v>43571</v>
      </c>
      <c r="S32" s="12">
        <v>43578</v>
      </c>
      <c r="T32" s="11">
        <v>43553</v>
      </c>
      <c r="U32" s="12">
        <v>43566</v>
      </c>
      <c r="V32" s="11">
        <v>43567</v>
      </c>
      <c r="W32" s="12">
        <v>43587</v>
      </c>
      <c r="X32" s="11">
        <v>43582</v>
      </c>
      <c r="Y32" s="12">
        <v>43573</v>
      </c>
      <c r="Z32" s="11">
        <v>43569</v>
      </c>
      <c r="AA32" s="12">
        <v>43571</v>
      </c>
      <c r="AB32" s="11">
        <v>43582</v>
      </c>
      <c r="AC32" s="12">
        <v>43590</v>
      </c>
      <c r="AD32" s="34"/>
      <c r="AE32" s="33">
        <f t="shared" si="6"/>
        <v>43553</v>
      </c>
      <c r="AF32" s="33">
        <f t="shared" si="7"/>
        <v>43569</v>
      </c>
      <c r="AG32" s="33">
        <f t="shared" si="8"/>
        <v>43587</v>
      </c>
      <c r="AH32">
        <v>31</v>
      </c>
      <c r="AK32" s="36" t="str">
        <f t="shared" si="1"/>
        <v/>
      </c>
      <c r="AL32" t="str">
        <f t="shared" si="9"/>
        <v/>
      </c>
      <c r="AM32" t="s">
        <v>393</v>
      </c>
      <c r="AN32">
        <f t="shared" si="2"/>
        <v>34</v>
      </c>
      <c r="AO32" t="str">
        <f t="shared" si="3"/>
        <v>29.3.---14.4.---2.5.</v>
      </c>
      <c r="AP32" t="str">
        <f t="shared" si="4"/>
        <v>Punasotka</v>
      </c>
      <c r="AQ32" t="str">
        <f t="shared" si="10"/>
        <v>(29.3.---14.4.---2.5.)</v>
      </c>
    </row>
    <row r="33" spans="1:43" x14ac:dyDescent="0.2">
      <c r="A33" s="1"/>
      <c r="B33" s="9">
        <f t="shared" si="5"/>
        <v>30</v>
      </c>
      <c r="C33" s="10"/>
      <c r="D33" s="15" t="s">
        <v>29</v>
      </c>
      <c r="E33" s="16"/>
      <c r="F33" s="11"/>
      <c r="G33" s="12"/>
      <c r="H33" s="11"/>
      <c r="I33" s="12"/>
      <c r="J33" s="11"/>
      <c r="K33" s="12"/>
      <c r="L33" s="11"/>
      <c r="M33" s="12">
        <v>43587</v>
      </c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>
        <v>43586</v>
      </c>
      <c r="Z33" s="11"/>
      <c r="AA33" s="12"/>
      <c r="AB33" s="11"/>
      <c r="AC33" s="12"/>
      <c r="AD33" s="34"/>
      <c r="AE33" s="33">
        <f t="shared" si="6"/>
        <v>43586</v>
      </c>
      <c r="AF33" s="33">
        <f t="shared" si="7"/>
        <v>43586.5</v>
      </c>
      <c r="AG33" s="33">
        <f t="shared" si="8"/>
        <v>43587</v>
      </c>
      <c r="AH33">
        <v>32</v>
      </c>
      <c r="AK33" s="36" t="str">
        <f t="shared" si="1"/>
        <v/>
      </c>
      <c r="AL33" t="str">
        <f t="shared" si="9"/>
        <v/>
      </c>
      <c r="AM33" t="s">
        <v>393</v>
      </c>
      <c r="AN33">
        <f t="shared" si="2"/>
        <v>1</v>
      </c>
      <c r="AO33" t="str">
        <f t="shared" si="3"/>
        <v>1.5.---1.5.---2.5.</v>
      </c>
      <c r="AP33" t="str">
        <f t="shared" si="4"/>
        <v>Amerikantukkasotka</v>
      </c>
      <c r="AQ33" t="str">
        <f t="shared" si="10"/>
        <v>(1.5.---1.5.---2.5.)</v>
      </c>
    </row>
    <row r="34" spans="1:43" x14ac:dyDescent="0.2">
      <c r="A34" s="1"/>
      <c r="B34" s="9">
        <f t="shared" si="5"/>
        <v>31</v>
      </c>
      <c r="C34" s="10"/>
      <c r="D34" s="9" t="s">
        <v>30</v>
      </c>
      <c r="E34" s="10"/>
      <c r="F34" s="11">
        <f>IF(AG1,DATE(2019,1,2),DATE(2019,4,13))</f>
        <v>43568</v>
      </c>
      <c r="G34" s="12">
        <f>IF(AG1,DATE(2019,1,1),DATE(2019,4,3))</f>
        <v>43558</v>
      </c>
      <c r="H34" s="11">
        <v>43576</v>
      </c>
      <c r="I34" s="12">
        <v>43527</v>
      </c>
      <c r="J34" s="11">
        <v>43562</v>
      </c>
      <c r="K34" s="12">
        <f>IF(AG1,DATE(2019,1,10),DATE(2019,4,12))</f>
        <v>43567</v>
      </c>
      <c r="L34" s="11">
        <f>IF(AG1,DATE(2019,1,1),DATE(2019,4,14))</f>
        <v>43569</v>
      </c>
      <c r="M34" s="12">
        <v>43550</v>
      </c>
      <c r="N34" s="11">
        <f>IF(AG1,DATE(2019,1,1),DATE(2019,4,1))</f>
        <v>43556</v>
      </c>
      <c r="O34" s="12">
        <v>43576</v>
      </c>
      <c r="P34" s="11">
        <f>IF(AG1,DATE(2019,1,7),DATE(2019,4,9))</f>
        <v>43564</v>
      </c>
      <c r="Q34" s="12">
        <v>43569</v>
      </c>
      <c r="R34" s="11">
        <f>IF(AG1,DATE(2019,1,1),DATE(2019,4,7))</f>
        <v>43562</v>
      </c>
      <c r="S34" s="12">
        <v>43570</v>
      </c>
      <c r="T34" s="11">
        <f>IF(AG1,DATE(2019,1,1),DATE(2019,3,28))</f>
        <v>43552</v>
      </c>
      <c r="U34" s="12">
        <f>IF(AG1,DATE(2019,1,2),DATE(2019,3,14))</f>
        <v>43538</v>
      </c>
      <c r="V34" s="11">
        <v>43559</v>
      </c>
      <c r="W34" s="12">
        <v>43560</v>
      </c>
      <c r="X34" s="11">
        <v>43579</v>
      </c>
      <c r="Y34" s="12">
        <v>43557</v>
      </c>
      <c r="Z34" s="11">
        <f>IF(AG1,DATE(2019,1,1),DATE(2019,3,26))</f>
        <v>43550</v>
      </c>
      <c r="AA34" s="12">
        <v>43557</v>
      </c>
      <c r="AB34" s="11">
        <v>43572</v>
      </c>
      <c r="AC34" s="12">
        <v>43575</v>
      </c>
      <c r="AD34" s="34"/>
      <c r="AE34" s="33">
        <f t="shared" si="6"/>
        <v>43527</v>
      </c>
      <c r="AF34" s="33">
        <f t="shared" si="7"/>
        <v>43562</v>
      </c>
      <c r="AG34" s="33">
        <f t="shared" si="8"/>
        <v>43579</v>
      </c>
      <c r="AH34">
        <v>34</v>
      </c>
      <c r="AK34" s="36" t="str">
        <f t="shared" si="1"/>
        <v/>
      </c>
      <c r="AL34" t="str">
        <f t="shared" si="9"/>
        <v/>
      </c>
      <c r="AM34">
        <v>10</v>
      </c>
      <c r="AN34">
        <f t="shared" si="2"/>
        <v>52</v>
      </c>
      <c r="AO34" t="str">
        <f t="shared" si="3"/>
        <v>3.3.---7.4.---24.4.</v>
      </c>
      <c r="AP34" t="str">
        <f t="shared" si="4"/>
        <v>Tukkasotka</v>
      </c>
      <c r="AQ34" t="str">
        <f t="shared" si="10"/>
        <v>(3.3.---7.4.---24.4., 10/21)</v>
      </c>
    </row>
    <row r="35" spans="1:43" x14ac:dyDescent="0.2">
      <c r="A35" s="1"/>
      <c r="B35" s="9">
        <f t="shared" si="5"/>
        <v>32</v>
      </c>
      <c r="C35" s="10"/>
      <c r="D35" s="9" t="s">
        <v>31</v>
      </c>
      <c r="E35" s="10"/>
      <c r="F35" s="11">
        <v>43590</v>
      </c>
      <c r="G35" s="12">
        <f>IF(AG1,DATE(2019,1,5),DATE(2019,5,5))</f>
        <v>43590</v>
      </c>
      <c r="H35" s="11">
        <v>43582</v>
      </c>
      <c r="I35" s="12">
        <v>43596</v>
      </c>
      <c r="J35" s="11">
        <v>43586</v>
      </c>
      <c r="K35" s="12">
        <v>43586</v>
      </c>
      <c r="L35" s="11">
        <v>43592</v>
      </c>
      <c r="M35" s="12">
        <v>43582</v>
      </c>
      <c r="N35" s="11">
        <v>43582</v>
      </c>
      <c r="O35" s="12">
        <v>43589</v>
      </c>
      <c r="P35" s="11">
        <v>43592</v>
      </c>
      <c r="Q35" s="12">
        <v>43592</v>
      </c>
      <c r="R35" s="11">
        <v>43583</v>
      </c>
      <c r="S35" s="12">
        <v>43586</v>
      </c>
      <c r="T35" s="11">
        <f>IF(AG1,DATE(2019,1,14),DATE(2019,4,25))</f>
        <v>43580</v>
      </c>
      <c r="U35" s="12">
        <v>43567</v>
      </c>
      <c r="V35" s="11">
        <v>43584</v>
      </c>
      <c r="W35" s="12">
        <v>43585</v>
      </c>
      <c r="X35" s="11">
        <v>43591</v>
      </c>
      <c r="Y35" s="12">
        <v>43592</v>
      </c>
      <c r="Z35" s="11">
        <f>IF(AG1,DATE(2019,1,5),DATE(2019,4,22))</f>
        <v>43577</v>
      </c>
      <c r="AA35" s="12">
        <v>43594</v>
      </c>
      <c r="AB35" s="11">
        <v>43592</v>
      </c>
      <c r="AC35" s="12">
        <v>43588</v>
      </c>
      <c r="AD35" s="34"/>
      <c r="AE35" s="33">
        <f t="shared" si="6"/>
        <v>43567</v>
      </c>
      <c r="AF35" s="33">
        <f t="shared" si="7"/>
        <v>43586</v>
      </c>
      <c r="AG35" s="33">
        <f t="shared" si="8"/>
        <v>43596</v>
      </c>
      <c r="AH35">
        <v>35</v>
      </c>
      <c r="AK35" s="36" t="str">
        <f t="shared" si="1"/>
        <v/>
      </c>
      <c r="AL35" t="str">
        <f t="shared" si="9"/>
        <v/>
      </c>
      <c r="AM35">
        <v>3</v>
      </c>
      <c r="AN35">
        <f t="shared" si="2"/>
        <v>29</v>
      </c>
      <c r="AO35" t="str">
        <f t="shared" si="3"/>
        <v>12.4.---1.5.---11.5.</v>
      </c>
      <c r="AP35" t="str">
        <f t="shared" si="4"/>
        <v>Lapasotka</v>
      </c>
      <c r="AQ35" t="str">
        <f t="shared" si="10"/>
        <v>(12.4.---1.5.---11.5., 3/21)</v>
      </c>
    </row>
    <row r="36" spans="1:43" x14ac:dyDescent="0.2">
      <c r="A36" s="1"/>
      <c r="B36" s="9">
        <f t="shared" si="5"/>
        <v>33</v>
      </c>
      <c r="C36" s="10"/>
      <c r="D36" s="9" t="s">
        <v>32</v>
      </c>
      <c r="E36" s="10"/>
      <c r="F36" s="11">
        <v>43583</v>
      </c>
      <c r="G36" s="12">
        <v>43590</v>
      </c>
      <c r="H36" s="11">
        <v>43583</v>
      </c>
      <c r="I36" s="12">
        <v>43594</v>
      </c>
      <c r="J36" s="11">
        <v>43585</v>
      </c>
      <c r="K36" s="12">
        <v>43588</v>
      </c>
      <c r="L36" s="11">
        <v>43590</v>
      </c>
      <c r="M36" s="12">
        <v>43581</v>
      </c>
      <c r="N36" s="11">
        <v>43570</v>
      </c>
      <c r="O36" s="12">
        <v>43582</v>
      </c>
      <c r="P36" s="11">
        <v>43598</v>
      </c>
      <c r="Q36" s="12">
        <v>43592</v>
      </c>
      <c r="R36" s="11">
        <v>43583</v>
      </c>
      <c r="S36" s="12">
        <v>43586</v>
      </c>
      <c r="T36" s="11">
        <v>43568</v>
      </c>
      <c r="U36" s="12">
        <f>IF(AG1,DATE(2019,1,1),DATE(2019,4,11))</f>
        <v>43566</v>
      </c>
      <c r="V36" s="11">
        <v>43579</v>
      </c>
      <c r="W36" s="12">
        <v>43586</v>
      </c>
      <c r="X36" s="11">
        <v>43590</v>
      </c>
      <c r="Y36" s="12">
        <v>43586</v>
      </c>
      <c r="Z36" s="11">
        <v>43563</v>
      </c>
      <c r="AA36" s="12">
        <v>43587</v>
      </c>
      <c r="AB36" s="11">
        <v>43592</v>
      </c>
      <c r="AC36" s="12">
        <v>43590</v>
      </c>
      <c r="AD36" s="34"/>
      <c r="AE36" s="33">
        <f t="shared" si="6"/>
        <v>43563</v>
      </c>
      <c r="AF36" s="33">
        <f t="shared" si="7"/>
        <v>43585</v>
      </c>
      <c r="AG36" s="33">
        <f t="shared" si="8"/>
        <v>43598</v>
      </c>
      <c r="AH36">
        <v>37</v>
      </c>
      <c r="AK36" s="36" t="str">
        <f t="shared" si="1"/>
        <v/>
      </c>
      <c r="AL36" t="str">
        <f t="shared" si="9"/>
        <v/>
      </c>
      <c r="AM36">
        <v>1</v>
      </c>
      <c r="AN36">
        <f t="shared" si="2"/>
        <v>35</v>
      </c>
      <c r="AO36" t="str">
        <f t="shared" si="3"/>
        <v>8.4.---30.4.---13.5.</v>
      </c>
      <c r="AP36" t="str">
        <f t="shared" si="4"/>
        <v>Haahka</v>
      </c>
      <c r="AQ36" t="str">
        <f t="shared" si="10"/>
        <v>(8.4.---30.4.---13.5., 1/21)</v>
      </c>
    </row>
    <row r="37" spans="1:43" x14ac:dyDescent="0.2">
      <c r="A37" s="1"/>
      <c r="B37" s="9">
        <f t="shared" si="5"/>
        <v>34</v>
      </c>
      <c r="C37" s="10"/>
      <c r="D37" s="13" t="s">
        <v>33</v>
      </c>
      <c r="E37" s="14"/>
      <c r="F37" s="11"/>
      <c r="G37" s="12"/>
      <c r="H37" s="11"/>
      <c r="I37" s="12"/>
      <c r="J37" s="11"/>
      <c r="K37" s="12"/>
      <c r="L37" s="11"/>
      <c r="M37" s="12">
        <v>43773</v>
      </c>
      <c r="N37" s="11"/>
      <c r="O37" s="12"/>
      <c r="P37" s="11">
        <v>43607</v>
      </c>
      <c r="Q37" s="12"/>
      <c r="R37" s="11"/>
      <c r="S37" s="12"/>
      <c r="T37" s="11"/>
      <c r="U37" s="12"/>
      <c r="V37" s="11"/>
      <c r="W37" s="12"/>
      <c r="X37" s="11">
        <v>43604</v>
      </c>
      <c r="Y37" s="12">
        <v>43591</v>
      </c>
      <c r="Z37" s="11">
        <v>43590</v>
      </c>
      <c r="AA37" s="12"/>
      <c r="AB37" s="11"/>
      <c r="AC37" s="12"/>
      <c r="AD37" s="34"/>
      <c r="AE37" s="33">
        <f t="shared" si="6"/>
        <v>43590</v>
      </c>
      <c r="AF37" s="33">
        <f t="shared" si="7"/>
        <v>43604</v>
      </c>
      <c r="AG37" s="33">
        <f t="shared" si="8"/>
        <v>43773</v>
      </c>
      <c r="AH37">
        <v>38</v>
      </c>
      <c r="AK37" s="36" t="str">
        <f t="shared" si="1"/>
        <v/>
      </c>
      <c r="AL37" t="str">
        <f t="shared" si="9"/>
        <v/>
      </c>
      <c r="AM37" t="s">
        <v>393</v>
      </c>
      <c r="AN37">
        <f t="shared" si="2"/>
        <v>183</v>
      </c>
      <c r="AO37" t="str">
        <f t="shared" si="3"/>
        <v>5.5.---19.5.---4.11.</v>
      </c>
      <c r="AP37" t="str">
        <f t="shared" si="4"/>
        <v>Kyhmyhaahka</v>
      </c>
      <c r="AQ37" t="str">
        <f t="shared" si="10"/>
        <v>(5.5.---19.5.---4.11.)</v>
      </c>
    </row>
    <row r="38" spans="1:43" x14ac:dyDescent="0.2">
      <c r="A38" s="1"/>
      <c r="B38" s="9">
        <f t="shared" si="5"/>
        <v>35</v>
      </c>
      <c r="C38" s="10"/>
      <c r="D38" s="9" t="s">
        <v>34</v>
      </c>
      <c r="E38" s="10"/>
      <c r="F38" s="11">
        <f>IF(AG1,DATE(2019,1,2),DATE(2019,6,20))</f>
        <v>43636</v>
      </c>
      <c r="G38" s="12">
        <f>IF(AG1,DATE(2019,1,3),DATE(2019,5,8))</f>
        <v>43593</v>
      </c>
      <c r="H38" s="11">
        <v>43589</v>
      </c>
      <c r="I38" s="12">
        <v>43602</v>
      </c>
      <c r="J38" s="11">
        <v>43598</v>
      </c>
      <c r="K38" s="12">
        <v>43596</v>
      </c>
      <c r="L38" s="11">
        <v>43594</v>
      </c>
      <c r="M38" s="12">
        <v>43592</v>
      </c>
      <c r="N38" s="11"/>
      <c r="O38" s="12">
        <v>43602</v>
      </c>
      <c r="P38" s="11">
        <v>43606</v>
      </c>
      <c r="Q38" s="12">
        <v>43602</v>
      </c>
      <c r="R38" s="11">
        <f>IF(AG1,DATE(2019,1,4),DATE(2019,4,30))</f>
        <v>43585</v>
      </c>
      <c r="S38" s="12">
        <v>43603</v>
      </c>
      <c r="T38" s="11">
        <v>43782</v>
      </c>
      <c r="U38" s="12">
        <f>IF(AG1,DATE(2019,1,26),DATE(2019,4,24))</f>
        <v>43579</v>
      </c>
      <c r="V38" s="11"/>
      <c r="W38" s="12">
        <v>43600</v>
      </c>
      <c r="X38" s="11">
        <f>IF(AG1,DATE(2019,1,4),DATE(2019,5,14))</f>
        <v>43599</v>
      </c>
      <c r="Y38" s="12">
        <v>43611</v>
      </c>
      <c r="Z38" s="11">
        <v>43586</v>
      </c>
      <c r="AA38" s="12">
        <v>43594</v>
      </c>
      <c r="AB38" s="11"/>
      <c r="AC38" s="12">
        <v>43652</v>
      </c>
      <c r="AD38" s="34"/>
      <c r="AE38" s="33">
        <f t="shared" si="6"/>
        <v>43579</v>
      </c>
      <c r="AF38" s="33">
        <f t="shared" si="7"/>
        <v>43599</v>
      </c>
      <c r="AG38" s="33">
        <f t="shared" si="8"/>
        <v>43782</v>
      </c>
      <c r="AH38">
        <v>39</v>
      </c>
      <c r="AK38" s="36" t="str">
        <f t="shared" si="1"/>
        <v/>
      </c>
      <c r="AL38" t="str">
        <f t="shared" si="9"/>
        <v/>
      </c>
      <c r="AM38">
        <v>5</v>
      </c>
      <c r="AN38">
        <f t="shared" si="2"/>
        <v>203</v>
      </c>
      <c r="AO38" t="str">
        <f t="shared" si="3"/>
        <v>24.4.---14.5.---13.11.</v>
      </c>
      <c r="AP38" t="str">
        <f t="shared" si="4"/>
        <v>Allihaahka</v>
      </c>
      <c r="AQ38" t="str">
        <f t="shared" si="10"/>
        <v>(24.4.---14.5.---13.11., 5/21)</v>
      </c>
    </row>
    <row r="39" spans="1:43" x14ac:dyDescent="0.2">
      <c r="A39" s="1"/>
      <c r="B39" s="9">
        <f t="shared" si="5"/>
        <v>36</v>
      </c>
      <c r="C39" s="10"/>
      <c r="D39" s="9" t="s">
        <v>35</v>
      </c>
      <c r="E39" s="10"/>
      <c r="F39" s="11">
        <f>IF(AG1,DATE(2019,1,13),DATE(2019,5,12))</f>
        <v>43597</v>
      </c>
      <c r="G39" s="12">
        <f>IF(AG1,DATE(2019,1,2),DATE(2019,5,8))</f>
        <v>43593</v>
      </c>
      <c r="H39" s="11">
        <v>43589</v>
      </c>
      <c r="I39" s="12">
        <v>43592</v>
      </c>
      <c r="J39" s="11">
        <f>IF(AG1,DATE(2019,1,5),DATE(2019,5,2))</f>
        <v>43587</v>
      </c>
      <c r="K39" s="12">
        <f>IF(AG1,DATE(2019,1,2),DATE(2019,5,3))</f>
        <v>43588</v>
      </c>
      <c r="L39" s="11">
        <f>IF(AG1,DATE(2019,1,1),DATE(2019,5,8))</f>
        <v>43593</v>
      </c>
      <c r="M39" s="12">
        <f>IF(AG1,DATE(2019,1,1),DATE(2019,5,13))</f>
        <v>43598</v>
      </c>
      <c r="N39" s="11">
        <f>IF(AG1,DATE(2019,1,10),DATE(2019,4,25))</f>
        <v>43580</v>
      </c>
      <c r="O39" s="12">
        <f>IF(AG1,DATE(2019,1,1),DATE(2019,5,2))</f>
        <v>43587</v>
      </c>
      <c r="P39" s="11">
        <f>IF(AG1,DATE(2019,3,1),DATE(2019,5,8))</f>
        <v>43593</v>
      </c>
      <c r="Q39" s="12">
        <v>43589</v>
      </c>
      <c r="R39" s="11">
        <f>IF(AG1,DATE(2019,1,1),DATE(2019,5,5))</f>
        <v>43590</v>
      </c>
      <c r="S39" s="12">
        <v>43586</v>
      </c>
      <c r="T39" s="11">
        <f>IF(AG1,DATE(2019,1,1),DATE(2019,4,18))</f>
        <v>43573</v>
      </c>
      <c r="U39" s="12">
        <v>43579</v>
      </c>
      <c r="V39" s="11">
        <f>IF(AG1,DATE(2019,1,4),DATE(2019,5,4))</f>
        <v>43589</v>
      </c>
      <c r="W39" s="12">
        <f>IF(AG1,DATE(2019,1,1),DATE(2019,5,13))</f>
        <v>43598</v>
      </c>
      <c r="X39" s="11">
        <f>IF(AG1,DATE(2019,1,1),DATE(2019,5,5))</f>
        <v>43590</v>
      </c>
      <c r="Y39" s="12">
        <f>IF(AG1,DATE(2019,1,2),DATE(2019,5,5))</f>
        <v>43590</v>
      </c>
      <c r="Z39" s="11">
        <f>IF(AG1,DATE(2019,1,2),DATE(2019,3,19))</f>
        <v>43543</v>
      </c>
      <c r="AA39" s="12">
        <f>IF(AG1,DATE(2019,1,1),DATE(2019,5,9))</f>
        <v>43594</v>
      </c>
      <c r="AB39" s="11">
        <v>43599</v>
      </c>
      <c r="AC39" s="12">
        <v>43468</v>
      </c>
      <c r="AD39" s="34"/>
      <c r="AE39" s="33">
        <f t="shared" si="6"/>
        <v>43543</v>
      </c>
      <c r="AF39" s="33">
        <f t="shared" si="7"/>
        <v>43589</v>
      </c>
      <c r="AG39" s="33">
        <f t="shared" si="8"/>
        <v>43598</v>
      </c>
      <c r="AH39">
        <v>41</v>
      </c>
      <c r="AK39" s="36" t="str">
        <f t="shared" si="1"/>
        <v/>
      </c>
      <c r="AL39" t="str">
        <f t="shared" si="9"/>
        <v/>
      </c>
      <c r="AM39">
        <v>15</v>
      </c>
      <c r="AN39">
        <f t="shared" si="2"/>
        <v>55</v>
      </c>
      <c r="AO39" t="str">
        <f t="shared" si="3"/>
        <v>19.3.---4.5.---13.5.</v>
      </c>
      <c r="AP39" t="str">
        <f t="shared" si="4"/>
        <v>Alli</v>
      </c>
      <c r="AQ39" t="str">
        <f t="shared" si="10"/>
        <v>(19.3.---4.5.---13.5., 15/21)</v>
      </c>
    </row>
    <row r="40" spans="1:43" x14ac:dyDescent="0.2">
      <c r="A40" s="1"/>
      <c r="B40" s="9">
        <f t="shared" si="5"/>
        <v>37</v>
      </c>
      <c r="C40" s="10"/>
      <c r="D40" s="9" t="s">
        <v>36</v>
      </c>
      <c r="E40" s="10"/>
      <c r="F40" s="11">
        <f>IF(AG1,DATE(2019,1,1),DATE(2019,4,26))</f>
        <v>43581</v>
      </c>
      <c r="G40" s="12">
        <f>IF(AG1,DATE(2019,1,1),DATE(2019,4,29))</f>
        <v>43584</v>
      </c>
      <c r="H40" s="11">
        <v>43578</v>
      </c>
      <c r="I40" s="12">
        <v>43586</v>
      </c>
      <c r="J40" s="11">
        <f>IF(AG1,DATE(2019,1,9),DATE(2019,4,22))</f>
        <v>43577</v>
      </c>
      <c r="K40" s="12">
        <f>IF(AG1,DATE(2019,1,1),DATE(2019,4,25))</f>
        <v>43580</v>
      </c>
      <c r="L40" s="11">
        <f>IF(AG1,DATE(2019,1,1),DATE(2019,4,17))</f>
        <v>43572</v>
      </c>
      <c r="M40" s="12">
        <f>IF(AG1,DATE(2019,1,1),DATE(2019,4,16))</f>
        <v>43571</v>
      </c>
      <c r="N40" s="11">
        <f>IF(AG1,DATE(2019,1,2),DATE(2019,4,17))</f>
        <v>43572</v>
      </c>
      <c r="O40" s="12">
        <f>IF(AG1,DATE(2019,1,1),DATE(2019,4,26))</f>
        <v>43581</v>
      </c>
      <c r="P40" s="11">
        <v>43576</v>
      </c>
      <c r="Q40" s="12">
        <v>43559</v>
      </c>
      <c r="R40" s="11">
        <f>IF(AG1,DATE(2019,1,1),DATE(2019,4,22))</f>
        <v>43577</v>
      </c>
      <c r="S40" s="12">
        <f>IF(AG1,DATE(2019,1,3),DATE(2019,4,25))</f>
        <v>43580</v>
      </c>
      <c r="T40" s="11">
        <f>IF(AG1,DATE(2019,1,1),DATE(2019,4,11))</f>
        <v>43566</v>
      </c>
      <c r="U40" s="12">
        <f>IF(AG1,DATE(2019,1,2),DATE(2019,4,10))</f>
        <v>43565</v>
      </c>
      <c r="V40" s="11">
        <f>IF(AG1,DATE(2019,1,2),DATE(2019,4,5))</f>
        <v>43560</v>
      </c>
      <c r="W40" s="12">
        <f>IF(AG1,DATE(2019,1,1),DATE(2019,4,22))</f>
        <v>43577</v>
      </c>
      <c r="X40" s="11">
        <f>IF(AG1,DATE(2019,1,1),DATE(2019,4,23))</f>
        <v>43578</v>
      </c>
      <c r="Y40" s="12">
        <f>IF(AG1,DATE(2019,1,2),DATE(2019,4,22))</f>
        <v>43577</v>
      </c>
      <c r="Z40" s="11">
        <f>IF(AG1,DATE(2019,1,1),DATE(2019,4,8))</f>
        <v>43563</v>
      </c>
      <c r="AA40" s="12">
        <f>IF(AG1,DATE(2019,1,1),DATE(2019,4,1))</f>
        <v>43556</v>
      </c>
      <c r="AB40" s="11">
        <v>43585</v>
      </c>
      <c r="AC40" s="12">
        <v>43466</v>
      </c>
      <c r="AD40" s="34"/>
      <c r="AE40" s="33">
        <f t="shared" si="6"/>
        <v>43559</v>
      </c>
      <c r="AF40" s="33">
        <f t="shared" si="7"/>
        <v>43577</v>
      </c>
      <c r="AG40" s="33">
        <f t="shared" si="8"/>
        <v>43586</v>
      </c>
      <c r="AH40">
        <v>42</v>
      </c>
      <c r="AK40" s="36" t="str">
        <f t="shared" si="1"/>
        <v/>
      </c>
      <c r="AL40" t="str">
        <f t="shared" si="9"/>
        <v/>
      </c>
      <c r="AM40">
        <v>17</v>
      </c>
      <c r="AN40">
        <f t="shared" si="2"/>
        <v>27</v>
      </c>
      <c r="AO40" t="str">
        <f t="shared" si="3"/>
        <v>4.4.---22.4.---1.5.</v>
      </c>
      <c r="AP40" t="str">
        <f t="shared" si="4"/>
        <v>Mustalintu</v>
      </c>
      <c r="AQ40" t="str">
        <f t="shared" si="10"/>
        <v>(4.4.---22.4.---1.5., 17/21)</v>
      </c>
    </row>
    <row r="41" spans="1:43" x14ac:dyDescent="0.2">
      <c r="A41" s="1"/>
      <c r="B41" s="9">
        <f t="shared" si="5"/>
        <v>38</v>
      </c>
      <c r="C41" s="10"/>
      <c r="D41" s="15" t="s">
        <v>37</v>
      </c>
      <c r="E41" s="16"/>
      <c r="F41" s="11"/>
      <c r="G41" s="12"/>
      <c r="H41" s="11"/>
      <c r="I41" s="12"/>
      <c r="J41" s="11">
        <v>43751</v>
      </c>
      <c r="K41" s="12"/>
      <c r="L41" s="11">
        <v>43594</v>
      </c>
      <c r="M41" s="12"/>
      <c r="N41" s="11"/>
      <c r="O41" s="12"/>
      <c r="P41" s="11"/>
      <c r="Q41" s="12"/>
      <c r="R41" s="11"/>
      <c r="S41" s="12"/>
      <c r="T41" s="11"/>
      <c r="U41" s="12"/>
      <c r="V41" s="11"/>
      <c r="W41" s="12"/>
      <c r="X41" s="11"/>
      <c r="Y41" s="12"/>
      <c r="Z41" s="11">
        <v>43608</v>
      </c>
      <c r="AA41" s="12"/>
      <c r="AB41" s="11"/>
      <c r="AC41" s="12"/>
      <c r="AD41" s="34"/>
      <c r="AE41" s="33">
        <f t="shared" si="6"/>
        <v>43594</v>
      </c>
      <c r="AF41" s="33">
        <f t="shared" si="7"/>
        <v>43608</v>
      </c>
      <c r="AG41" s="33">
        <f t="shared" si="8"/>
        <v>43751</v>
      </c>
      <c r="AH41">
        <v>44</v>
      </c>
      <c r="AK41" s="36" t="str">
        <f t="shared" si="1"/>
        <v/>
      </c>
      <c r="AL41" t="str">
        <f t="shared" si="9"/>
        <v/>
      </c>
      <c r="AM41" t="s">
        <v>393</v>
      </c>
      <c r="AN41">
        <f t="shared" si="2"/>
        <v>157</v>
      </c>
      <c r="AO41" t="str">
        <f t="shared" si="3"/>
        <v>9.5.---23.5.---13.10.</v>
      </c>
      <c r="AP41" t="str">
        <f t="shared" si="4"/>
        <v>Pilkkaniska</v>
      </c>
      <c r="AQ41" t="str">
        <f t="shared" si="10"/>
        <v>(9.5.---23.5.---13.10.)</v>
      </c>
    </row>
    <row r="42" spans="1:43" x14ac:dyDescent="0.2">
      <c r="A42" s="1"/>
      <c r="B42" s="9">
        <f t="shared" si="5"/>
        <v>39</v>
      </c>
      <c r="C42" s="10"/>
      <c r="D42" s="9" t="s">
        <v>38</v>
      </c>
      <c r="E42" s="10"/>
      <c r="F42" s="11">
        <f>IF(AG1,DATE(2019,1,2),DATE(2019,5,2))</f>
        <v>43587</v>
      </c>
      <c r="G42" s="12">
        <f>IF(AG1,DATE(2019,1,1),DATE(2019,4,29))</f>
        <v>43584</v>
      </c>
      <c r="H42" s="11">
        <f>IF(AG1,DATE(2019,1,1),DATE(2019,4,27))</f>
        <v>43582</v>
      </c>
      <c r="I42" s="12">
        <v>43588</v>
      </c>
      <c r="J42" s="11">
        <f>IF(AG1,DATE(2019,1,10),DATE(2019,4,26))</f>
        <v>43581</v>
      </c>
      <c r="K42" s="12">
        <f>IF(AG1,DATE(2019,1,1),DATE(2019,4,26))</f>
        <v>43581</v>
      </c>
      <c r="L42" s="11">
        <f>IF(AG1,DATE(2019,1,1),DATE(2019,4,22))</f>
        <v>43577</v>
      </c>
      <c r="M42" s="12">
        <f>IF(AG1,DATE(2019,1,1),DATE(2019,4,26))</f>
        <v>43581</v>
      </c>
      <c r="N42" s="11">
        <f>IF(AG1,DATE(2019,1,7),DATE(2019,4,20))</f>
        <v>43575</v>
      </c>
      <c r="O42" s="12">
        <f>IF(AG1,DATE(2019,1,1),DATE(2019,4,27))</f>
        <v>43582</v>
      </c>
      <c r="P42" s="11">
        <f>IF(AG1,DATE(2019,1,16),DATE(2019,5,3))</f>
        <v>43588</v>
      </c>
      <c r="Q42" s="12">
        <f>IF(AG1,DATE(2019,1,8),DATE(2019,5,1))</f>
        <v>43586</v>
      </c>
      <c r="R42" s="11">
        <f>IF(AG1,DATE(2019,1,1),DATE(2019,4,19))</f>
        <v>43574</v>
      </c>
      <c r="S42" s="12">
        <f>IF(AG1,DATE(2019,1,1),DATE(2019,5,1))</f>
        <v>43586</v>
      </c>
      <c r="T42" s="11">
        <f>IF(AG1,DATE(2019,1,1),DATE(2019,4,3))</f>
        <v>43558</v>
      </c>
      <c r="U42" s="12">
        <f>IF(AG1,DATE(2019,1,8),DATE(2019,4,12))</f>
        <v>43567</v>
      </c>
      <c r="V42" s="11">
        <f>IF(AG1,DATE(2019,1,1),DATE(2019,4,12))</f>
        <v>43567</v>
      </c>
      <c r="W42" s="12">
        <f>IF(AG1,DATE(2019,1,1),DATE(2019,4,24))</f>
        <v>43579</v>
      </c>
      <c r="X42" s="11">
        <f>IF(AG1,DATE(2019,1,1),DATE(2019,5,2))</f>
        <v>43587</v>
      </c>
      <c r="Y42" s="12">
        <f>IF(AG1,DATE(2019,1,1),DATE(2019,4,21))</f>
        <v>43576</v>
      </c>
      <c r="Z42" s="11">
        <f>IF(AG1,DATE(2019,1,1),DATE(2019,4,8))</f>
        <v>43563</v>
      </c>
      <c r="AA42" s="12">
        <f>IF(AG1,DATE(2019,1,1),DATE(2019,4,21))</f>
        <v>43576</v>
      </c>
      <c r="AB42" s="11">
        <v>43580</v>
      </c>
      <c r="AC42" s="12">
        <v>43466</v>
      </c>
      <c r="AD42" s="34"/>
      <c r="AE42" s="33">
        <f t="shared" si="6"/>
        <v>43558</v>
      </c>
      <c r="AF42" s="33">
        <f t="shared" si="7"/>
        <v>43581</v>
      </c>
      <c r="AG42" s="33">
        <f t="shared" si="8"/>
        <v>43588</v>
      </c>
      <c r="AH42">
        <v>45</v>
      </c>
      <c r="AK42" s="36" t="str">
        <f t="shared" si="1"/>
        <v/>
      </c>
      <c r="AL42" t="str">
        <f t="shared" si="9"/>
        <v/>
      </c>
      <c r="AM42">
        <v>20</v>
      </c>
      <c r="AN42">
        <f t="shared" si="2"/>
        <v>30</v>
      </c>
      <c r="AO42" t="str">
        <f t="shared" si="3"/>
        <v>3.4.---26.4.---3.5.</v>
      </c>
      <c r="AP42" t="str">
        <f t="shared" si="4"/>
        <v>Pilkkasiipi</v>
      </c>
      <c r="AQ42" t="str">
        <f t="shared" si="10"/>
        <v>(3.4.---26.4.---3.5., 20/21)</v>
      </c>
    </row>
    <row r="43" spans="1:43" x14ac:dyDescent="0.2">
      <c r="A43" s="1"/>
      <c r="B43" s="9">
        <f t="shared" si="5"/>
        <v>40</v>
      </c>
      <c r="C43" s="10"/>
      <c r="D43" s="9" t="s">
        <v>39</v>
      </c>
      <c r="E43" s="10"/>
      <c r="F43" s="11">
        <f>IF(AG1,DATE(2019,1,1),DATE(2019,3,26))</f>
        <v>43550</v>
      </c>
      <c r="G43" s="12">
        <f>IF(AG1,DATE(2019,1,1),DATE(2019,3,30))</f>
        <v>43554</v>
      </c>
      <c r="H43" s="11">
        <f>IF(AG1,DATE(2019,1,1),DATE(2019,3,27))</f>
        <v>43551</v>
      </c>
      <c r="I43" s="12">
        <f>IF(AG1,DATE(2019,1,1),DATE(2019,3,14))</f>
        <v>43538</v>
      </c>
      <c r="J43" s="11">
        <f>IF(AG1,DATE(2019,1,1),DATE(2019,3,19))</f>
        <v>43543</v>
      </c>
      <c r="K43" s="12">
        <f>IF(AG1,DATE(2019,1,1),DATE(2019,3,31))</f>
        <v>43555</v>
      </c>
      <c r="L43" s="11">
        <f>IF(AG1,DATE(2019,1,1),DATE(2019,4,7))</f>
        <v>43562</v>
      </c>
      <c r="M43" s="12">
        <f>IF(AG1,DATE(2019,1,1),DATE(2019,3,17))</f>
        <v>43541</v>
      </c>
      <c r="N43" s="11">
        <f>IF(AG1,DATE(2019,1,1),DATE(2019,3,18))</f>
        <v>43542</v>
      </c>
      <c r="O43" s="12">
        <f>IF(AG1,DATE(2019,1,1),DATE(2019,3,7))</f>
        <v>43531</v>
      </c>
      <c r="P43" s="11">
        <f>IF(AG1,DATE(2019,1,1),DATE(2019,3,7))</f>
        <v>43531</v>
      </c>
      <c r="Q43" s="12">
        <f>IF(AG1,DATE(2019,1,3),DATE(2019,3,22))</f>
        <v>43546</v>
      </c>
      <c r="R43" s="11">
        <f>IF(AG1,DATE(2019,1,1),DATE(2019,3,19))</f>
        <v>43543</v>
      </c>
      <c r="S43" s="12">
        <f>IF(AG1,DATE(2019,2,15),DATE(2019,3,29))</f>
        <v>43553</v>
      </c>
      <c r="T43" s="11">
        <f>IF(AG1,DATE(2019,1,1),DATE(2019,2,16))</f>
        <v>43512</v>
      </c>
      <c r="U43" s="12">
        <f>IF(AG1,DATE(2019,1,1),DATE(2019,2,14))</f>
        <v>43510</v>
      </c>
      <c r="V43" s="11">
        <f>IF(AG1,DATE(2019,1,1),DATE(2019,3,6))</f>
        <v>43530</v>
      </c>
      <c r="W43" s="12">
        <f>IF(AG1,DATE(2019,1,1),DATE(2019,3,3))</f>
        <v>43527</v>
      </c>
      <c r="X43" s="11">
        <f>IF(AG1,DATE(2019,1,1),DATE(2019,3,30))</f>
        <v>43554</v>
      </c>
      <c r="Y43" s="12">
        <f>IF(AG1,DATE(2019,1,1),DATE(2019,3,14))</f>
        <v>43538</v>
      </c>
      <c r="Z43" s="11">
        <f>IF(AG1,DATE(2019,1,1),DATE(2019,2,24))</f>
        <v>43520</v>
      </c>
      <c r="AA43" s="12">
        <f>IF(AG1,DATE(2019,1,1),DATE(2019,3,24))</f>
        <v>43548</v>
      </c>
      <c r="AB43" s="11">
        <f>IF(AF1,DATE(2019,1,1),DATE(2019,3,16))</f>
        <v>43540</v>
      </c>
      <c r="AC43" s="12">
        <v>43466</v>
      </c>
      <c r="AD43" s="34"/>
      <c r="AE43" s="33">
        <f t="shared" si="6"/>
        <v>43510</v>
      </c>
      <c r="AF43" s="33">
        <f t="shared" si="7"/>
        <v>43542</v>
      </c>
      <c r="AG43" s="33">
        <f t="shared" si="8"/>
        <v>43562</v>
      </c>
      <c r="AH43">
        <v>47</v>
      </c>
      <c r="AK43" s="36" t="str">
        <f t="shared" si="1"/>
        <v/>
      </c>
      <c r="AL43">
        <f t="shared" si="9"/>
        <v>3</v>
      </c>
      <c r="AM43">
        <v>21</v>
      </c>
      <c r="AN43">
        <f t="shared" si="2"/>
        <v>52</v>
      </c>
      <c r="AO43" t="str">
        <f t="shared" si="3"/>
        <v>14.2.---18.3.---7.4.</v>
      </c>
      <c r="AP43" t="str">
        <f t="shared" si="4"/>
        <v>Telkkä</v>
      </c>
      <c r="AQ43" t="str">
        <f t="shared" si="10"/>
        <v>(14.2.---18.3.---7.4., 21/21)</v>
      </c>
    </row>
    <row r="44" spans="1:43" x14ac:dyDescent="0.2">
      <c r="A44" s="1"/>
      <c r="B44" s="9">
        <f t="shared" si="5"/>
        <v>41</v>
      </c>
      <c r="C44" s="10"/>
      <c r="D44" s="9" t="s">
        <v>40</v>
      </c>
      <c r="E44" s="10"/>
      <c r="F44" s="11">
        <v>43569</v>
      </c>
      <c r="G44" s="12">
        <f>IF(AG1,DATE(2019,1,3),DATE(2019,4,22))</f>
        <v>43577</v>
      </c>
      <c r="H44" s="11">
        <f>IF(AG1,DATE(2019,1,11),DATE(2019,4,5))</f>
        <v>43560</v>
      </c>
      <c r="I44" s="12">
        <v>43529</v>
      </c>
      <c r="J44" s="11">
        <v>43565</v>
      </c>
      <c r="K44" s="12">
        <f>IF(AG1,DATE(2019,1,2),DATE(2019,4,6))</f>
        <v>43561</v>
      </c>
      <c r="L44" s="11">
        <f>IF(AG1,DATE(2019,1,3),DATE(2019,4,13))</f>
        <v>43568</v>
      </c>
      <c r="M44" s="12">
        <f>IF(AG1,DATE(2019,1,1),DATE(2019,4,10))</f>
        <v>43565</v>
      </c>
      <c r="N44" s="11">
        <f>IF(AG1,DATE(2019,1,5),DATE(2019,4,6))</f>
        <v>43561</v>
      </c>
      <c r="O44" s="12">
        <v>43577</v>
      </c>
      <c r="P44" s="11">
        <v>43571</v>
      </c>
      <c r="Q44" s="12">
        <v>43529</v>
      </c>
      <c r="R44" s="11">
        <f>IF(AG1,DATE(2019,1,1),DATE(2019,4,7))</f>
        <v>43562</v>
      </c>
      <c r="S44" s="12">
        <v>43573</v>
      </c>
      <c r="T44" s="11">
        <f>IF(AG1,DATE(2019,1,3),DATE(2019,3,10))</f>
        <v>43534</v>
      </c>
      <c r="U44" s="12">
        <v>43553</v>
      </c>
      <c r="V44" s="11">
        <f>IF(AG1,DATE(2019,1,2),DATE(2019,3,30))</f>
        <v>43554</v>
      </c>
      <c r="W44" s="12">
        <v>43560</v>
      </c>
      <c r="X44" s="11">
        <f>IF(AG1,DATE(2019,1,4),DATE(2019,4,20))</f>
        <v>43575</v>
      </c>
      <c r="Y44" s="12">
        <f>IF(AG1,DATE(2019,1,23),DATE(2019,4,13))</f>
        <v>43568</v>
      </c>
      <c r="Z44" s="11">
        <f>IF(AG1,DATE(2019,1,19),DATE(2019,3,27))</f>
        <v>43551</v>
      </c>
      <c r="AA44" s="12">
        <f>IF(AG1,DATE(2019,1,4),DATE(2019,4,10))</f>
        <v>43565</v>
      </c>
      <c r="AB44" s="11">
        <v>43572</v>
      </c>
      <c r="AC44" s="12">
        <v>43571</v>
      </c>
      <c r="AD44" s="34"/>
      <c r="AE44" s="33">
        <f t="shared" si="6"/>
        <v>43529</v>
      </c>
      <c r="AF44" s="33">
        <f t="shared" si="7"/>
        <v>43562</v>
      </c>
      <c r="AG44" s="33">
        <f t="shared" si="8"/>
        <v>43577</v>
      </c>
      <c r="AH44">
        <v>48</v>
      </c>
      <c r="AK44" s="36" t="str">
        <f t="shared" si="1"/>
        <v/>
      </c>
      <c r="AL44" t="str">
        <f t="shared" si="9"/>
        <v/>
      </c>
      <c r="AM44">
        <v>12</v>
      </c>
      <c r="AN44">
        <f t="shared" si="2"/>
        <v>48</v>
      </c>
      <c r="AO44" t="str">
        <f t="shared" si="3"/>
        <v>5.3.---7.4.---22.4.</v>
      </c>
      <c r="AP44" t="str">
        <f t="shared" si="4"/>
        <v>Uivelo</v>
      </c>
      <c r="AQ44" t="str">
        <f t="shared" si="10"/>
        <v>(5.3.---7.4.---22.4., 12/21)</v>
      </c>
    </row>
    <row r="45" spans="1:43" x14ac:dyDescent="0.2">
      <c r="A45" s="1"/>
      <c r="B45" s="9">
        <f t="shared" si="5"/>
        <v>42</v>
      </c>
      <c r="C45" s="10"/>
      <c r="D45" s="9" t="s">
        <v>41</v>
      </c>
      <c r="E45" s="10"/>
      <c r="F45" s="11">
        <v>43581</v>
      </c>
      <c r="G45" s="12">
        <f>IF(AG1,DATE(2019,1,1),DATE(2019,4,22))</f>
        <v>43577</v>
      </c>
      <c r="H45" s="11">
        <v>43569</v>
      </c>
      <c r="I45" s="12">
        <v>43580</v>
      </c>
      <c r="J45" s="11">
        <f>IF(AG1,DATE(2019,1,9),DATE(2019,4,17))</f>
        <v>43572</v>
      </c>
      <c r="K45" s="12">
        <v>43569</v>
      </c>
      <c r="L45" s="11">
        <v>43471</v>
      </c>
      <c r="M45" s="12">
        <f>IF(AG1,DATE(2019,1,1),DATE(2019,4,8))</f>
        <v>43563</v>
      </c>
      <c r="N45" s="11">
        <f>IF(AG1,DATE(2019,1,1),DATE(2019,4,1))</f>
        <v>43556</v>
      </c>
      <c r="O45" s="12">
        <v>43567</v>
      </c>
      <c r="P45" s="11">
        <v>43580</v>
      </c>
      <c r="Q45" s="12">
        <v>43580</v>
      </c>
      <c r="R45" s="11">
        <f>IF(AG1,DATE(2019,1,1),DATE(2019,4,12))</f>
        <v>43567</v>
      </c>
      <c r="S45" s="12">
        <v>43577</v>
      </c>
      <c r="T45" s="11">
        <f>IF(AG1,DATE(2019,1,3),DATE(2019,4,13))</f>
        <v>43568</v>
      </c>
      <c r="U45" s="12">
        <f>IF(AG1,DATE(2019,2,8),DATE(2019,3,14))</f>
        <v>43538</v>
      </c>
      <c r="V45" s="11">
        <v>43564</v>
      </c>
      <c r="W45" s="12">
        <v>43565</v>
      </c>
      <c r="X45" s="11">
        <f>IF(AG1,DATE(2019,1,1),DATE(2019,4,24))</f>
        <v>43579</v>
      </c>
      <c r="Y45" s="12">
        <f>IF(AG1,DATE(2019,1,1),DATE(2019,4,21))</f>
        <v>43576</v>
      </c>
      <c r="Z45" s="11">
        <v>43562</v>
      </c>
      <c r="AA45" s="12">
        <f>IF(AG1,DATE(2019,1,2),DATE(2019,4,17))</f>
        <v>43572</v>
      </c>
      <c r="AB45" s="11">
        <v>43570</v>
      </c>
      <c r="AC45" s="12">
        <v>43571</v>
      </c>
      <c r="AD45" s="34"/>
      <c r="AE45" s="33">
        <f t="shared" si="6"/>
        <v>43471</v>
      </c>
      <c r="AF45" s="33">
        <f t="shared" si="7"/>
        <v>43569</v>
      </c>
      <c r="AG45" s="33">
        <f t="shared" si="8"/>
        <v>43581</v>
      </c>
      <c r="AH45">
        <v>49</v>
      </c>
      <c r="AK45" s="36" t="str">
        <f t="shared" si="1"/>
        <v/>
      </c>
      <c r="AL45">
        <f t="shared" si="9"/>
        <v>1</v>
      </c>
      <c r="AM45">
        <v>10</v>
      </c>
      <c r="AN45">
        <f t="shared" si="2"/>
        <v>110</v>
      </c>
      <c r="AO45" t="str">
        <f t="shared" si="3"/>
        <v>6.1.---14.4.---26.4.</v>
      </c>
      <c r="AP45" t="str">
        <f t="shared" si="4"/>
        <v>Tukkakoskelo</v>
      </c>
      <c r="AQ45" t="str">
        <f t="shared" si="10"/>
        <v>(6.1.---14.4.---26.4., 10/21)</v>
      </c>
    </row>
    <row r="46" spans="1:43" x14ac:dyDescent="0.2">
      <c r="A46" s="1"/>
      <c r="B46" s="9">
        <f t="shared" si="5"/>
        <v>43</v>
      </c>
      <c r="C46" s="10"/>
      <c r="D46" s="9" t="s">
        <v>42</v>
      </c>
      <c r="E46" s="10"/>
      <c r="F46" s="11">
        <f>IF(AG1,DATE(2019,1,1),DATE(2019,3,21))</f>
        <v>43545</v>
      </c>
      <c r="G46" s="12">
        <f>IF(AG1,DATE(2019,1,1),DATE(2019,3,24))</f>
        <v>43548</v>
      </c>
      <c r="H46" s="11">
        <f>IF(AG1,DATE(2019,1,3),DATE(2019,3,16))</f>
        <v>43540</v>
      </c>
      <c r="I46" s="12">
        <f>IF(AG1,DATE(2019,1,1),DATE(2019,3,3))</f>
        <v>43527</v>
      </c>
      <c r="J46" s="11">
        <f>IF(AG1,DATE(2019,1,2),DATE(2019,3,8))</f>
        <v>43532</v>
      </c>
      <c r="K46" s="12">
        <f>IF(AG1,DATE(2019,1,1),DATE(2019,3,6))</f>
        <v>43530</v>
      </c>
      <c r="L46" s="11">
        <f>IF(AG1,DATE(2019,1,1),DATE(2019,3,5))</f>
        <v>43529</v>
      </c>
      <c r="M46" s="12">
        <f>IF(AG1,DATE(2019,1,1),DATE(2019,3,22))</f>
        <v>43546</v>
      </c>
      <c r="N46" s="11">
        <f>IF(AG1,DATE(2019,1,2),DATE(2019,3,7))</f>
        <v>43531</v>
      </c>
      <c r="O46" s="12">
        <f>IF(AG1,DATE(2019,1,1),DATE(2019,3,14))</f>
        <v>43538</v>
      </c>
      <c r="P46" s="11">
        <f>IF(AG1,DATE(2019,1,1),DATE(2019,3,2))</f>
        <v>43526</v>
      </c>
      <c r="Q46" s="12">
        <f>IF(AG1,DATE(2019,1,1),DATE(2019,2,28))</f>
        <v>43524</v>
      </c>
      <c r="R46" s="11">
        <f>IF(AG1,DATE(2019,1,1),DATE(2019,3,1))</f>
        <v>43525</v>
      </c>
      <c r="S46" s="12">
        <f>IF(AG1,DATE(2019,1,1),DATE(2019,3,1))</f>
        <v>43525</v>
      </c>
      <c r="T46" s="11">
        <f>IF(AG1,DATE(2019,1,1),DATE(2019,2,28))</f>
        <v>43524</v>
      </c>
      <c r="U46" s="12">
        <f>IF(AG1,DATE(2019,1,1),DATE(2019,2,28))</f>
        <v>43524</v>
      </c>
      <c r="V46" s="11">
        <f>IF(AG1,DATE(2019,1,1),DATE(2019,3,11))</f>
        <v>43535</v>
      </c>
      <c r="W46" s="12">
        <f>IF(AG1,DATE(2019,1,1),DATE(2019,3,12))</f>
        <v>43536</v>
      </c>
      <c r="X46" s="11">
        <f>IF(AG1,DATE(2019,1,1),DATE(2019,3,22))</f>
        <v>43546</v>
      </c>
      <c r="Y46" s="12">
        <f>IF(AG1,DATE(2019,1,1),DATE(2019,3,1))</f>
        <v>43525</v>
      </c>
      <c r="Z46" s="11">
        <f>IF(AG1,DATE(2019,1,1),DATE(2019,3,8))</f>
        <v>43532</v>
      </c>
      <c r="AA46" s="12">
        <f>IF(AG1,DATE(2019,1,1),DATE(2019,3,24))</f>
        <v>43548</v>
      </c>
      <c r="AB46" s="11">
        <v>43540</v>
      </c>
      <c r="AC46" s="12">
        <v>43467</v>
      </c>
      <c r="AD46" s="34"/>
      <c r="AE46" s="33">
        <f t="shared" si="6"/>
        <v>43524</v>
      </c>
      <c r="AF46" s="33">
        <f t="shared" si="7"/>
        <v>43531</v>
      </c>
      <c r="AG46" s="33">
        <f t="shared" si="8"/>
        <v>43548</v>
      </c>
      <c r="AH46">
        <v>50</v>
      </c>
      <c r="AK46" s="36" t="str">
        <f t="shared" si="1"/>
        <v/>
      </c>
      <c r="AL46">
        <f t="shared" si="9"/>
        <v>3</v>
      </c>
      <c r="AM46">
        <v>21</v>
      </c>
      <c r="AN46">
        <f t="shared" si="2"/>
        <v>24</v>
      </c>
      <c r="AO46" t="str">
        <f t="shared" si="3"/>
        <v>28.2.---7.3.---24.3.</v>
      </c>
      <c r="AP46" t="str">
        <f t="shared" si="4"/>
        <v>Isokoskelo</v>
      </c>
      <c r="AQ46" t="str">
        <f t="shared" si="10"/>
        <v>(28.2.---7.3.---24.3., 21/21)</v>
      </c>
    </row>
    <row r="47" spans="1:43" x14ac:dyDescent="0.2">
      <c r="A47" s="1"/>
      <c r="B47" s="9">
        <f t="shared" si="5"/>
        <v>44</v>
      </c>
      <c r="C47" s="10"/>
      <c r="D47" s="15" t="s">
        <v>43</v>
      </c>
      <c r="E47" s="16"/>
      <c r="F47" s="11"/>
      <c r="G47" s="12"/>
      <c r="H47" s="11"/>
      <c r="I47" s="12">
        <v>43574</v>
      </c>
      <c r="J47" s="11">
        <v>43613</v>
      </c>
      <c r="K47" s="12"/>
      <c r="L47" s="11"/>
      <c r="M47" s="12"/>
      <c r="N47" s="11"/>
      <c r="O47" s="12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  <c r="AA47" s="12"/>
      <c r="AB47" s="11"/>
      <c r="AC47" s="12"/>
      <c r="AD47" s="34"/>
      <c r="AE47" s="33">
        <f t="shared" si="6"/>
        <v>43574</v>
      </c>
      <c r="AF47" s="33">
        <f t="shared" si="7"/>
        <v>43593.5</v>
      </c>
      <c r="AG47" s="33">
        <f t="shared" si="8"/>
        <v>43613</v>
      </c>
      <c r="AH47">
        <v>51</v>
      </c>
      <c r="AK47" s="36" t="str">
        <f t="shared" si="1"/>
        <v/>
      </c>
      <c r="AL47" t="str">
        <f t="shared" si="9"/>
        <v/>
      </c>
      <c r="AM47" t="s">
        <v>393</v>
      </c>
      <c r="AN47">
        <f t="shared" si="2"/>
        <v>39</v>
      </c>
      <c r="AO47" t="str">
        <f t="shared" si="3"/>
        <v>19.4.---8.5.---28.5.</v>
      </c>
      <c r="AP47" t="str">
        <f t="shared" si="4"/>
        <v>Kuparisorsa</v>
      </c>
      <c r="AQ47" t="str">
        <f t="shared" si="10"/>
        <v>(19.4.---8.5.---28.5.)</v>
      </c>
    </row>
    <row r="48" spans="1:43" x14ac:dyDescent="0.2">
      <c r="A48" s="1"/>
      <c r="B48" s="9">
        <f t="shared" si="5"/>
        <v>45</v>
      </c>
      <c r="C48" s="10"/>
      <c r="D48" s="9" t="s">
        <v>44</v>
      </c>
      <c r="E48" s="10"/>
      <c r="F48" s="11"/>
      <c r="G48" s="12"/>
      <c r="H48" s="11">
        <v>43620</v>
      </c>
      <c r="I48" s="12">
        <v>43607</v>
      </c>
      <c r="J48" s="11">
        <v>43614</v>
      </c>
      <c r="K48" s="12">
        <v>43609</v>
      </c>
      <c r="L48" s="11">
        <v>43597</v>
      </c>
      <c r="M48" s="12">
        <v>43618</v>
      </c>
      <c r="N48" s="11">
        <v>43647</v>
      </c>
      <c r="O48" s="12">
        <v>43623</v>
      </c>
      <c r="P48" s="11">
        <v>43614</v>
      </c>
      <c r="Q48" s="12">
        <v>43601</v>
      </c>
      <c r="R48" s="11"/>
      <c r="S48" s="12">
        <v>43625</v>
      </c>
      <c r="T48" s="11">
        <v>43622</v>
      </c>
      <c r="U48" s="12">
        <v>43606</v>
      </c>
      <c r="V48" s="11">
        <v>43614</v>
      </c>
      <c r="W48" s="12"/>
      <c r="X48" s="11">
        <v>43649</v>
      </c>
      <c r="Y48" s="12">
        <v>43611</v>
      </c>
      <c r="Z48" s="11">
        <v>43627</v>
      </c>
      <c r="AA48" s="12">
        <v>43602</v>
      </c>
      <c r="AB48" s="11">
        <v>43608</v>
      </c>
      <c r="AC48" s="12"/>
      <c r="AD48" s="34"/>
      <c r="AE48" s="33">
        <f t="shared" si="6"/>
        <v>43597</v>
      </c>
      <c r="AF48" s="33">
        <f t="shared" si="7"/>
        <v>43614</v>
      </c>
      <c r="AG48" s="33">
        <f t="shared" si="8"/>
        <v>43649</v>
      </c>
      <c r="AH48">
        <v>52</v>
      </c>
      <c r="AK48" s="36" t="str">
        <f t="shared" si="1"/>
        <v/>
      </c>
      <c r="AL48" t="str">
        <f t="shared" si="9"/>
        <v/>
      </c>
      <c r="AM48" t="s">
        <v>393</v>
      </c>
      <c r="AN48">
        <f t="shared" si="2"/>
        <v>52</v>
      </c>
      <c r="AO48" t="str">
        <f t="shared" si="3"/>
        <v>12.5.---29.5.---3.7.</v>
      </c>
      <c r="AP48" t="str">
        <f t="shared" si="4"/>
        <v>Viiriäinen</v>
      </c>
      <c r="AQ48" t="str">
        <f t="shared" si="10"/>
        <v>(12.5.---29.5.---3.7.)</v>
      </c>
    </row>
    <row r="49" spans="1:43" x14ac:dyDescent="0.2">
      <c r="A49" s="1"/>
      <c r="B49" s="9">
        <f t="shared" si="5"/>
        <v>46</v>
      </c>
      <c r="C49" s="10"/>
      <c r="D49" s="9" t="s">
        <v>45</v>
      </c>
      <c r="E49" s="10"/>
      <c r="F49" s="11"/>
      <c r="G49" s="12"/>
      <c r="H49" s="11"/>
      <c r="I49" s="12">
        <v>43471</v>
      </c>
      <c r="J49" s="11">
        <v>43466</v>
      </c>
      <c r="K49" s="12">
        <v>43466</v>
      </c>
      <c r="L49" s="11">
        <v>43466</v>
      </c>
      <c r="M49" s="12">
        <v>43466</v>
      </c>
      <c r="N49" s="11">
        <v>43466</v>
      </c>
      <c r="O49" s="12">
        <v>43466</v>
      </c>
      <c r="P49" s="11">
        <v>43466</v>
      </c>
      <c r="Q49" s="12">
        <v>43466</v>
      </c>
      <c r="R49" s="11">
        <v>43466</v>
      </c>
      <c r="S49" s="12">
        <v>43466</v>
      </c>
      <c r="T49" s="11">
        <v>43466</v>
      </c>
      <c r="U49" s="12">
        <v>43466</v>
      </c>
      <c r="V49" s="11">
        <v>43466</v>
      </c>
      <c r="W49" s="12">
        <v>43466</v>
      </c>
      <c r="X49" s="11">
        <v>43466</v>
      </c>
      <c r="Y49" s="12">
        <v>43467</v>
      </c>
      <c r="Z49" s="11">
        <v>43466</v>
      </c>
      <c r="AA49" s="12">
        <v>43466</v>
      </c>
      <c r="AB49" s="11">
        <v>43466</v>
      </c>
      <c r="AC49" s="12">
        <v>43466</v>
      </c>
      <c r="AD49" s="34"/>
      <c r="AE49" s="33">
        <f t="shared" si="6"/>
        <v>43466</v>
      </c>
      <c r="AF49" s="33">
        <f t="shared" si="7"/>
        <v>43466</v>
      </c>
      <c r="AG49" s="33">
        <f t="shared" si="8"/>
        <v>43471</v>
      </c>
      <c r="AH49">
        <v>53</v>
      </c>
      <c r="AK49" s="36" t="str">
        <f t="shared" si="1"/>
        <v/>
      </c>
      <c r="AL49">
        <f t="shared" si="9"/>
        <v>18</v>
      </c>
      <c r="AM49">
        <v>18</v>
      </c>
      <c r="AN49">
        <f t="shared" si="2"/>
        <v>5</v>
      </c>
      <c r="AO49" t="str">
        <f t="shared" si="3"/>
        <v>1.1.---1.1.---6.1.</v>
      </c>
      <c r="AP49" t="str">
        <f t="shared" si="4"/>
        <v>Pyy</v>
      </c>
      <c r="AQ49" t="str">
        <f t="shared" si="10"/>
        <v>(1.1.---1.1.---6.1., 18/21)</v>
      </c>
    </row>
    <row r="50" spans="1:43" x14ac:dyDescent="0.2">
      <c r="A50" s="1"/>
      <c r="B50" s="9">
        <f t="shared" si="5"/>
        <v>47</v>
      </c>
      <c r="C50" s="10"/>
      <c r="D50" s="9" t="s">
        <v>46</v>
      </c>
      <c r="E50" s="10"/>
      <c r="F50" s="11"/>
      <c r="G50" s="12"/>
      <c r="H50" s="11"/>
      <c r="I50" s="12">
        <v>43466</v>
      </c>
      <c r="J50" s="11">
        <v>43468</v>
      </c>
      <c r="K50" s="12">
        <v>43466</v>
      </c>
      <c r="L50" s="11">
        <v>43466</v>
      </c>
      <c r="M50" s="12">
        <v>43466</v>
      </c>
      <c r="N50" s="11">
        <v>43466</v>
      </c>
      <c r="O50" s="12">
        <v>43466</v>
      </c>
      <c r="P50" s="11">
        <v>43467</v>
      </c>
      <c r="Q50" s="12">
        <v>43466</v>
      </c>
      <c r="R50" s="11">
        <v>43466</v>
      </c>
      <c r="S50" s="12">
        <v>43466</v>
      </c>
      <c r="T50" s="11">
        <v>43468</v>
      </c>
      <c r="U50" s="12">
        <v>43466</v>
      </c>
      <c r="V50" s="11">
        <v>43467</v>
      </c>
      <c r="W50" s="12">
        <v>43470</v>
      </c>
      <c r="X50" s="11">
        <v>43466</v>
      </c>
      <c r="Y50" s="12">
        <v>43471</v>
      </c>
      <c r="Z50" s="11">
        <v>43466</v>
      </c>
      <c r="AA50" s="12">
        <v>43466</v>
      </c>
      <c r="AB50" s="11">
        <v>43466</v>
      </c>
      <c r="AC50" s="12">
        <v>43466</v>
      </c>
      <c r="AD50" s="34"/>
      <c r="AE50" s="33">
        <f t="shared" si="6"/>
        <v>43466</v>
      </c>
      <c r="AF50" s="33">
        <f t="shared" si="7"/>
        <v>43466</v>
      </c>
      <c r="AG50" s="33">
        <f t="shared" si="8"/>
        <v>43471</v>
      </c>
      <c r="AH50">
        <v>54</v>
      </c>
      <c r="AK50" s="36" t="str">
        <f t="shared" si="1"/>
        <v/>
      </c>
      <c r="AL50">
        <f t="shared" si="9"/>
        <v>18</v>
      </c>
      <c r="AM50">
        <v>18</v>
      </c>
      <c r="AN50">
        <f t="shared" si="2"/>
        <v>5</v>
      </c>
      <c r="AO50" t="str">
        <f t="shared" si="3"/>
        <v>1.1.---1.1.---6.1.</v>
      </c>
      <c r="AP50" t="str">
        <f t="shared" si="4"/>
        <v>Riekko</v>
      </c>
      <c r="AQ50" t="str">
        <f t="shared" si="10"/>
        <v>(1.1.---1.1.---6.1., 18/21)</v>
      </c>
    </row>
    <row r="51" spans="1:43" x14ac:dyDescent="0.2">
      <c r="A51" s="1"/>
      <c r="B51" s="9">
        <f t="shared" si="5"/>
        <v>48</v>
      </c>
      <c r="C51" s="10"/>
      <c r="D51" s="9" t="s">
        <v>47</v>
      </c>
      <c r="E51" s="10"/>
      <c r="F51" s="11"/>
      <c r="G51" s="12"/>
      <c r="H51" s="11"/>
      <c r="I51" s="12">
        <v>43466</v>
      </c>
      <c r="J51" s="11">
        <v>43466</v>
      </c>
      <c r="K51" s="12">
        <v>43466</v>
      </c>
      <c r="L51" s="11">
        <v>43466</v>
      </c>
      <c r="M51" s="12">
        <v>43466</v>
      </c>
      <c r="N51" s="11">
        <v>43466</v>
      </c>
      <c r="O51" s="12">
        <v>43466</v>
      </c>
      <c r="P51" s="11">
        <v>43466</v>
      </c>
      <c r="Q51" s="12">
        <v>43466</v>
      </c>
      <c r="R51" s="11">
        <v>43466</v>
      </c>
      <c r="S51" s="12">
        <v>43466</v>
      </c>
      <c r="T51" s="11">
        <v>43466</v>
      </c>
      <c r="U51" s="12">
        <v>43466</v>
      </c>
      <c r="V51" s="11">
        <v>43466</v>
      </c>
      <c r="W51" s="12">
        <v>43466</v>
      </c>
      <c r="X51" s="11">
        <v>43466</v>
      </c>
      <c r="Y51" s="12">
        <v>43466</v>
      </c>
      <c r="Z51" s="11">
        <v>43466</v>
      </c>
      <c r="AA51" s="12">
        <v>43466</v>
      </c>
      <c r="AB51" s="11">
        <v>43466</v>
      </c>
      <c r="AC51" s="12">
        <v>43466</v>
      </c>
      <c r="AD51" s="34"/>
      <c r="AE51" s="33">
        <f t="shared" si="6"/>
        <v>43466</v>
      </c>
      <c r="AF51" s="33">
        <f t="shared" si="7"/>
        <v>43466</v>
      </c>
      <c r="AG51" s="33">
        <f t="shared" si="8"/>
        <v>43466</v>
      </c>
      <c r="AH51">
        <v>56</v>
      </c>
      <c r="AK51" s="36" t="str">
        <f t="shared" si="1"/>
        <v/>
      </c>
      <c r="AL51">
        <f t="shared" si="9"/>
        <v>18</v>
      </c>
      <c r="AM51">
        <v>18</v>
      </c>
      <c r="AN51">
        <f t="shared" si="2"/>
        <v>0</v>
      </c>
      <c r="AO51" t="str">
        <f t="shared" si="3"/>
        <v>1.1.---1.1.---1.1.</v>
      </c>
      <c r="AP51" t="str">
        <f t="shared" si="4"/>
        <v>Teeri</v>
      </c>
      <c r="AQ51" t="str">
        <f t="shared" si="10"/>
        <v>(1.1.---1.1.---1.1., 18/21)</v>
      </c>
    </row>
    <row r="52" spans="1:43" x14ac:dyDescent="0.2">
      <c r="A52" s="1"/>
      <c r="B52" s="9">
        <f t="shared" si="5"/>
        <v>49</v>
      </c>
      <c r="C52" s="10"/>
      <c r="D52" s="9" t="s">
        <v>48</v>
      </c>
      <c r="E52" s="10"/>
      <c r="F52" s="11"/>
      <c r="G52" s="12"/>
      <c r="H52" s="11"/>
      <c r="I52" s="12">
        <v>43468</v>
      </c>
      <c r="J52" s="11">
        <v>43466</v>
      </c>
      <c r="K52" s="12">
        <v>43466</v>
      </c>
      <c r="L52" s="11">
        <v>43467</v>
      </c>
      <c r="M52" s="12">
        <v>43466</v>
      </c>
      <c r="N52" s="11">
        <v>43466</v>
      </c>
      <c r="O52" s="12">
        <v>43467</v>
      </c>
      <c r="P52" s="11">
        <v>43466</v>
      </c>
      <c r="Q52" s="12">
        <v>43466</v>
      </c>
      <c r="R52" s="11">
        <v>43466</v>
      </c>
      <c r="S52" s="12">
        <v>43468</v>
      </c>
      <c r="T52" s="11">
        <v>43466</v>
      </c>
      <c r="U52" s="12">
        <v>43466</v>
      </c>
      <c r="V52" s="11">
        <v>43466</v>
      </c>
      <c r="W52" s="12">
        <v>43466</v>
      </c>
      <c r="X52" s="11">
        <v>43466</v>
      </c>
      <c r="Y52" s="12">
        <v>43470</v>
      </c>
      <c r="Z52" s="11">
        <v>43466</v>
      </c>
      <c r="AA52" s="12">
        <v>43467</v>
      </c>
      <c r="AB52" s="11">
        <v>43466</v>
      </c>
      <c r="AC52" s="12">
        <v>43466</v>
      </c>
      <c r="AD52" s="34"/>
      <c r="AE52" s="33">
        <f t="shared" si="6"/>
        <v>43466</v>
      </c>
      <c r="AF52" s="33">
        <f t="shared" si="7"/>
        <v>43466</v>
      </c>
      <c r="AG52" s="33">
        <f t="shared" si="8"/>
        <v>43470</v>
      </c>
      <c r="AH52">
        <v>57</v>
      </c>
      <c r="AK52" s="36" t="str">
        <f t="shared" si="1"/>
        <v/>
      </c>
      <c r="AL52">
        <f t="shared" si="9"/>
        <v>18</v>
      </c>
      <c r="AM52">
        <v>18</v>
      </c>
      <c r="AN52">
        <f t="shared" si="2"/>
        <v>4</v>
      </c>
      <c r="AO52" t="str">
        <f t="shared" si="3"/>
        <v>1.1.---1.1.---5.1.</v>
      </c>
      <c r="AP52" t="str">
        <f t="shared" si="4"/>
        <v>Metso</v>
      </c>
      <c r="AQ52" t="str">
        <f t="shared" si="10"/>
        <v>(1.1.---1.1.---5.1., 18/21)</v>
      </c>
    </row>
    <row r="53" spans="1:43" x14ac:dyDescent="0.2">
      <c r="A53" s="1"/>
      <c r="B53" s="9">
        <f t="shared" si="5"/>
        <v>50</v>
      </c>
      <c r="C53" s="10"/>
      <c r="D53" s="9" t="s">
        <v>49</v>
      </c>
      <c r="E53" s="10"/>
      <c r="F53" s="11">
        <v>43467</v>
      </c>
      <c r="G53" s="12">
        <v>43469</v>
      </c>
      <c r="H53" s="11"/>
      <c r="I53" s="12">
        <v>43466</v>
      </c>
      <c r="J53" s="11">
        <v>43466</v>
      </c>
      <c r="K53" s="12">
        <v>43466</v>
      </c>
      <c r="L53" s="11">
        <v>43466</v>
      </c>
      <c r="M53" s="12">
        <v>43466</v>
      </c>
      <c r="N53" s="11">
        <v>43466</v>
      </c>
      <c r="O53" s="12">
        <v>43466</v>
      </c>
      <c r="P53" s="11">
        <v>43466</v>
      </c>
      <c r="Q53" s="12">
        <v>43471</v>
      </c>
      <c r="R53" s="11">
        <v>43466</v>
      </c>
      <c r="S53" s="12">
        <v>43466</v>
      </c>
      <c r="T53" s="11">
        <v>43466</v>
      </c>
      <c r="U53" s="12">
        <v>43466</v>
      </c>
      <c r="V53" s="11">
        <v>43470</v>
      </c>
      <c r="W53" s="12">
        <v>43467</v>
      </c>
      <c r="X53" s="11">
        <v>43466</v>
      </c>
      <c r="Y53" s="12">
        <v>43466</v>
      </c>
      <c r="Z53" s="11">
        <v>43466</v>
      </c>
      <c r="AA53" s="12">
        <v>43466</v>
      </c>
      <c r="AB53" s="11">
        <v>43466</v>
      </c>
      <c r="AC53" s="12">
        <v>43466</v>
      </c>
      <c r="AD53" s="34"/>
      <c r="AE53" s="33">
        <f t="shared" si="6"/>
        <v>43466</v>
      </c>
      <c r="AF53" s="33">
        <f t="shared" si="7"/>
        <v>43466</v>
      </c>
      <c r="AG53" s="33">
        <f t="shared" si="8"/>
        <v>43471</v>
      </c>
      <c r="AH53">
        <v>58</v>
      </c>
      <c r="AK53" s="36" t="str">
        <f t="shared" si="1"/>
        <v/>
      </c>
      <c r="AL53">
        <f t="shared" si="9"/>
        <v>20</v>
      </c>
      <c r="AM53">
        <v>20</v>
      </c>
      <c r="AN53">
        <f t="shared" si="2"/>
        <v>5</v>
      </c>
      <c r="AO53" t="str">
        <f t="shared" si="3"/>
        <v>1.1.---1.1.---6.1.</v>
      </c>
      <c r="AP53" t="str">
        <f t="shared" si="4"/>
        <v>Peltopyy</v>
      </c>
      <c r="AQ53" t="str">
        <f t="shared" si="10"/>
        <v>(1.1.---1.1.---6.1., 20/21)</v>
      </c>
    </row>
    <row r="54" spans="1:43" x14ac:dyDescent="0.2">
      <c r="A54" s="1"/>
      <c r="B54" s="9">
        <f t="shared" si="5"/>
        <v>51</v>
      </c>
      <c r="C54" s="10"/>
      <c r="D54" s="9" t="s">
        <v>50</v>
      </c>
      <c r="E54" s="10"/>
      <c r="F54" s="11"/>
      <c r="G54" s="12"/>
      <c r="H54" s="11"/>
      <c r="I54" s="12">
        <v>43470</v>
      </c>
      <c r="J54" s="11">
        <v>43466</v>
      </c>
      <c r="K54" s="12">
        <v>43466</v>
      </c>
      <c r="L54" s="11">
        <v>43466</v>
      </c>
      <c r="M54" s="12">
        <v>43466</v>
      </c>
      <c r="N54" s="11">
        <v>43466</v>
      </c>
      <c r="O54" s="12">
        <v>43466</v>
      </c>
      <c r="P54" s="11">
        <v>43466</v>
      </c>
      <c r="Q54" s="12">
        <v>43466</v>
      </c>
      <c r="R54" s="11">
        <v>43466</v>
      </c>
      <c r="S54" s="12">
        <v>43466</v>
      </c>
      <c r="T54" s="11">
        <v>43466</v>
      </c>
      <c r="U54" s="12">
        <v>43466</v>
      </c>
      <c r="V54" s="11">
        <v>43466</v>
      </c>
      <c r="W54" s="12">
        <v>43466</v>
      </c>
      <c r="X54" s="11">
        <v>43466</v>
      </c>
      <c r="Y54" s="12">
        <v>43466</v>
      </c>
      <c r="Z54" s="11">
        <v>43466</v>
      </c>
      <c r="AA54" s="12">
        <v>43466</v>
      </c>
      <c r="AB54" s="11">
        <v>43466</v>
      </c>
      <c r="AC54" s="12">
        <v>43466</v>
      </c>
      <c r="AD54" s="34"/>
      <c r="AE54" s="33">
        <f t="shared" si="6"/>
        <v>43466</v>
      </c>
      <c r="AF54" s="33">
        <f t="shared" si="7"/>
        <v>43466</v>
      </c>
      <c r="AG54" s="33">
        <f t="shared" si="8"/>
        <v>43470</v>
      </c>
      <c r="AH54">
        <v>59</v>
      </c>
      <c r="AK54" s="36" t="str">
        <f t="shared" si="1"/>
        <v/>
      </c>
      <c r="AL54">
        <f t="shared" si="9"/>
        <v>18</v>
      </c>
      <c r="AM54">
        <v>18</v>
      </c>
      <c r="AN54">
        <f t="shared" si="2"/>
        <v>4</v>
      </c>
      <c r="AO54" t="str">
        <f t="shared" si="3"/>
        <v>1.1.---1.1.---5.1.</v>
      </c>
      <c r="AP54" t="str">
        <f t="shared" si="4"/>
        <v>Fasaani</v>
      </c>
      <c r="AQ54" t="str">
        <f t="shared" si="10"/>
        <v>(1.1.---1.1.---5.1., 18/21)</v>
      </c>
    </row>
    <row r="55" spans="1:43" x14ac:dyDescent="0.2">
      <c r="A55" s="1"/>
      <c r="B55" s="9">
        <f t="shared" si="5"/>
        <v>52</v>
      </c>
      <c r="C55" s="10"/>
      <c r="D55" s="9" t="s">
        <v>51</v>
      </c>
      <c r="E55" s="10"/>
      <c r="F55" s="11">
        <v>43578</v>
      </c>
      <c r="G55" s="12">
        <f>IF(AG1,DATE(2019,1,17),DATE(2019,4,29))</f>
        <v>43584</v>
      </c>
      <c r="H55" s="11">
        <v>43578</v>
      </c>
      <c r="I55" s="12">
        <v>43581</v>
      </c>
      <c r="J55" s="11">
        <v>43571</v>
      </c>
      <c r="K55" s="12">
        <f>IF(AG1,DATE(2019,1,2),DATE(2019,4,27))</f>
        <v>43582</v>
      </c>
      <c r="L55" s="11">
        <f>IF(AG1,DATE(2019,1,1),DATE(2019,4,22))</f>
        <v>43577</v>
      </c>
      <c r="M55" s="12">
        <v>43577</v>
      </c>
      <c r="N55" s="11">
        <v>43573</v>
      </c>
      <c r="O55" s="12">
        <f>IF(AG1,DATE(2019,1,1),DATE(2019,3,22))</f>
        <v>43546</v>
      </c>
      <c r="P55" s="11">
        <f>IF(AG1,DATE(2019,1,6),DATE(2019,4,26))</f>
        <v>43581</v>
      </c>
      <c r="Q55" s="12">
        <v>43584</v>
      </c>
      <c r="R55" s="11">
        <v>43579</v>
      </c>
      <c r="S55" s="12">
        <v>43580</v>
      </c>
      <c r="T55" s="11">
        <f>IF(AG1,DATE(2019,1,1),DATE(2019,4,12))</f>
        <v>43567</v>
      </c>
      <c r="U55" s="12">
        <v>43566</v>
      </c>
      <c r="V55" s="11">
        <f>IF(AG1,DATE(2019,1,28),DATE(2019,4,10))</f>
        <v>43565</v>
      </c>
      <c r="W55" s="12">
        <v>43576</v>
      </c>
      <c r="X55" s="11">
        <v>43582</v>
      </c>
      <c r="Y55" s="12">
        <v>43576</v>
      </c>
      <c r="Z55" s="11">
        <f>IF(AG1,DATE(2019,1,3),DATE(2019,4,19))</f>
        <v>43574</v>
      </c>
      <c r="AA55" s="12">
        <f>IF(AG1,DATE(2019,1,24),DATE(2019,4,21))</f>
        <v>43576</v>
      </c>
      <c r="AB55" s="11">
        <v>43582</v>
      </c>
      <c r="AC55" s="12">
        <v>43584</v>
      </c>
      <c r="AD55" s="34"/>
      <c r="AE55" s="33">
        <f t="shared" si="6"/>
        <v>43546</v>
      </c>
      <c r="AF55" s="33">
        <f t="shared" si="7"/>
        <v>43577</v>
      </c>
      <c r="AG55" s="33">
        <f t="shared" si="8"/>
        <v>43584</v>
      </c>
      <c r="AH55">
        <v>60</v>
      </c>
      <c r="AK55" s="36" t="str">
        <f t="shared" si="1"/>
        <v/>
      </c>
      <c r="AL55" t="str">
        <f t="shared" si="9"/>
        <v/>
      </c>
      <c r="AM55">
        <v>8</v>
      </c>
      <c r="AN55">
        <f t="shared" si="2"/>
        <v>38</v>
      </c>
      <c r="AO55" t="str">
        <f t="shared" si="3"/>
        <v>22.3.---22.4.---29.4.</v>
      </c>
      <c r="AP55" t="str">
        <f t="shared" si="4"/>
        <v>Kaakkuri</v>
      </c>
      <c r="AQ55" t="str">
        <f t="shared" si="10"/>
        <v>(22.3.---22.4.---29.4., 8/21)</v>
      </c>
    </row>
    <row r="56" spans="1:43" x14ac:dyDescent="0.2">
      <c r="A56" s="1"/>
      <c r="B56" s="9">
        <f t="shared" si="5"/>
        <v>53</v>
      </c>
      <c r="C56" s="10"/>
      <c r="D56" s="9" t="s">
        <v>52</v>
      </c>
      <c r="E56" s="10"/>
      <c r="F56" s="11">
        <v>43578</v>
      </c>
      <c r="G56" s="12">
        <v>43584</v>
      </c>
      <c r="H56" s="11">
        <v>43581</v>
      </c>
      <c r="I56" s="12">
        <v>43580</v>
      </c>
      <c r="J56" s="11">
        <v>43578</v>
      </c>
      <c r="K56" s="12">
        <v>43579</v>
      </c>
      <c r="L56" s="11">
        <v>43581</v>
      </c>
      <c r="M56" s="12">
        <v>43572</v>
      </c>
      <c r="N56" s="11">
        <v>43571</v>
      </c>
      <c r="O56" s="12">
        <f>IF(AG1,DATE(2019,1,1),DATE(2019,4,23))</f>
        <v>43578</v>
      </c>
      <c r="P56" s="11">
        <v>43581</v>
      </c>
      <c r="Q56" s="12">
        <v>43549</v>
      </c>
      <c r="R56" s="11">
        <v>43575</v>
      </c>
      <c r="S56" s="12">
        <v>43580</v>
      </c>
      <c r="T56" s="11">
        <v>43572</v>
      </c>
      <c r="U56" s="12">
        <v>43567</v>
      </c>
      <c r="V56" s="11">
        <v>43571</v>
      </c>
      <c r="W56" s="12">
        <v>43577</v>
      </c>
      <c r="X56" s="11">
        <v>43582</v>
      </c>
      <c r="Y56" s="12">
        <v>43571</v>
      </c>
      <c r="Z56" s="11">
        <f>IF(AG1,DATE(2019,1,10),DATE(2019,4,9))</f>
        <v>43564</v>
      </c>
      <c r="AA56" s="12">
        <v>43582</v>
      </c>
      <c r="AB56" s="11">
        <v>43580</v>
      </c>
      <c r="AC56" s="12">
        <v>43584</v>
      </c>
      <c r="AD56" s="34"/>
      <c r="AE56" s="33">
        <f t="shared" si="6"/>
        <v>43549</v>
      </c>
      <c r="AF56" s="33">
        <f t="shared" si="7"/>
        <v>43578</v>
      </c>
      <c r="AG56" s="33">
        <f t="shared" si="8"/>
        <v>43584</v>
      </c>
      <c r="AH56">
        <v>61</v>
      </c>
      <c r="AK56" s="36" t="str">
        <f t="shared" si="1"/>
        <v/>
      </c>
      <c r="AL56" t="str">
        <f t="shared" si="9"/>
        <v/>
      </c>
      <c r="AM56">
        <v>2</v>
      </c>
      <c r="AN56">
        <f t="shared" si="2"/>
        <v>35</v>
      </c>
      <c r="AO56" t="str">
        <f t="shared" si="3"/>
        <v>25.3.---23.4.---29.4.</v>
      </c>
      <c r="AP56" t="str">
        <f t="shared" si="4"/>
        <v>Kuikka</v>
      </c>
      <c r="AQ56" t="str">
        <f t="shared" si="10"/>
        <v>(25.3.---23.4.---29.4., 2/21)</v>
      </c>
    </row>
    <row r="57" spans="1:43" x14ac:dyDescent="0.2">
      <c r="A57" s="1"/>
      <c r="B57" s="9">
        <f t="shared" si="5"/>
        <v>54</v>
      </c>
      <c r="C57" s="10"/>
      <c r="D57" s="13" t="s">
        <v>53</v>
      </c>
      <c r="E57" s="14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11">
        <v>43761</v>
      </c>
      <c r="W57" s="12"/>
      <c r="X57" s="11"/>
      <c r="Y57" s="12"/>
      <c r="Z57" s="11"/>
      <c r="AA57" s="12"/>
      <c r="AB57" s="11"/>
      <c r="AC57" s="12">
        <v>43697</v>
      </c>
      <c r="AD57" s="34"/>
      <c r="AE57" s="33">
        <f t="shared" si="6"/>
        <v>43761</v>
      </c>
      <c r="AF57" s="33">
        <f t="shared" si="7"/>
        <v>43761</v>
      </c>
      <c r="AG57" s="33">
        <f t="shared" si="8"/>
        <v>43761</v>
      </c>
      <c r="AH57">
        <v>63</v>
      </c>
      <c r="AK57" s="36" t="str">
        <f t="shared" si="1"/>
        <v/>
      </c>
      <c r="AL57" t="str">
        <f t="shared" si="9"/>
        <v/>
      </c>
      <c r="AM57" t="s">
        <v>393</v>
      </c>
      <c r="AN57">
        <f t="shared" si="2"/>
        <v>0</v>
      </c>
      <c r="AO57" t="str">
        <f t="shared" si="3"/>
        <v>23.10.---23.10.---23.10.</v>
      </c>
      <c r="AP57" t="str">
        <f t="shared" si="4"/>
        <v>Amerikanjääkuikka</v>
      </c>
      <c r="AQ57" t="str">
        <f t="shared" si="10"/>
        <v>(23.10.---23.10.---23.10.)</v>
      </c>
    </row>
    <row r="58" spans="1:43" x14ac:dyDescent="0.2">
      <c r="A58" s="1"/>
      <c r="B58" s="9">
        <f t="shared" si="5"/>
        <v>55</v>
      </c>
      <c r="C58" s="10"/>
      <c r="D58" s="9" t="s">
        <v>54</v>
      </c>
      <c r="E58" s="10"/>
      <c r="F58" s="11">
        <v>43602</v>
      </c>
      <c r="G58" s="12">
        <v>43603</v>
      </c>
      <c r="H58" s="11">
        <v>43603</v>
      </c>
      <c r="I58" s="12">
        <v>43603</v>
      </c>
      <c r="J58" s="11">
        <v>43618</v>
      </c>
      <c r="K58" s="12">
        <v>43600</v>
      </c>
      <c r="L58" s="11">
        <v>43592</v>
      </c>
      <c r="M58" s="12">
        <v>43594</v>
      </c>
      <c r="N58" s="11">
        <v>43594</v>
      </c>
      <c r="O58" s="12">
        <v>43591</v>
      </c>
      <c r="P58" s="11">
        <v>43598</v>
      </c>
      <c r="Q58" s="12">
        <v>43592</v>
      </c>
      <c r="R58" s="11">
        <v>43598</v>
      </c>
      <c r="S58" s="12">
        <v>43590</v>
      </c>
      <c r="T58" s="11">
        <f>IF(AG1,DATE(2019,1,4),DATE(2019,5,11))</f>
        <v>43596</v>
      </c>
      <c r="U58" s="12">
        <v>43584</v>
      </c>
      <c r="V58" s="11">
        <v>43597</v>
      </c>
      <c r="W58" s="12">
        <f>IF(AG1,DATE(2019,2,20),DATE(2019,5,7))</f>
        <v>43592</v>
      </c>
      <c r="X58" s="11">
        <v>43590</v>
      </c>
      <c r="Y58" s="12">
        <v>43592</v>
      </c>
      <c r="Z58" s="11">
        <v>43593</v>
      </c>
      <c r="AA58" s="12">
        <v>43598</v>
      </c>
      <c r="AB58" s="11">
        <v>43746</v>
      </c>
      <c r="AC58" s="12">
        <v>43597</v>
      </c>
      <c r="AD58" s="34"/>
      <c r="AE58" s="33">
        <f t="shared" si="6"/>
        <v>43584</v>
      </c>
      <c r="AF58" s="33">
        <f t="shared" si="7"/>
        <v>43594</v>
      </c>
      <c r="AG58" s="33">
        <f t="shared" si="8"/>
        <v>43618</v>
      </c>
      <c r="AH58">
        <v>64</v>
      </c>
      <c r="AK58" s="36" t="str">
        <f t="shared" si="1"/>
        <v/>
      </c>
      <c r="AL58" t="str">
        <f t="shared" si="9"/>
        <v/>
      </c>
      <c r="AM58">
        <v>2</v>
      </c>
      <c r="AN58">
        <f t="shared" si="2"/>
        <v>34</v>
      </c>
      <c r="AO58" t="str">
        <f t="shared" si="3"/>
        <v>29.4.---9.5.---2.6.</v>
      </c>
      <c r="AP58" t="str">
        <f t="shared" si="4"/>
        <v>Jääkuikka</v>
      </c>
      <c r="AQ58" t="str">
        <f t="shared" si="10"/>
        <v>(29.4.---9.5.---2.6., 2/21)</v>
      </c>
    </row>
    <row r="59" spans="1:43" x14ac:dyDescent="0.2">
      <c r="A59" s="1"/>
      <c r="B59" s="9">
        <f t="shared" si="5"/>
        <v>56</v>
      </c>
      <c r="C59" s="10"/>
      <c r="D59" s="9" t="s">
        <v>55</v>
      </c>
      <c r="E59" s="10"/>
      <c r="F59" s="11">
        <v>43753</v>
      </c>
      <c r="G59" s="12">
        <v>43466</v>
      </c>
      <c r="H59" s="11">
        <v>43593</v>
      </c>
      <c r="I59" s="12">
        <v>43466</v>
      </c>
      <c r="J59" s="11">
        <v>43466</v>
      </c>
      <c r="K59" s="12">
        <v>43467</v>
      </c>
      <c r="L59" s="11">
        <v>43466</v>
      </c>
      <c r="M59" s="12">
        <v>43466</v>
      </c>
      <c r="N59" s="11">
        <v>43467</v>
      </c>
      <c r="O59" s="12">
        <v>43476</v>
      </c>
      <c r="P59" s="11">
        <v>43733</v>
      </c>
      <c r="Q59" s="12">
        <v>43726</v>
      </c>
      <c r="R59" s="11">
        <v>43467</v>
      </c>
      <c r="S59" s="12">
        <v>43473</v>
      </c>
      <c r="T59" s="11">
        <v>43726</v>
      </c>
      <c r="U59" s="12">
        <v>43466</v>
      </c>
      <c r="V59" s="11">
        <v>43466</v>
      </c>
      <c r="W59" s="12">
        <v>43466</v>
      </c>
      <c r="X59" s="11">
        <v>43749</v>
      </c>
      <c r="Y59" s="12">
        <v>43466</v>
      </c>
      <c r="Z59" s="11">
        <v>43689</v>
      </c>
      <c r="AA59" s="12">
        <v>43467</v>
      </c>
      <c r="AB59" s="11"/>
      <c r="AC59" s="12"/>
      <c r="AD59" s="34"/>
      <c r="AE59" s="33">
        <f t="shared" si="6"/>
        <v>43466</v>
      </c>
      <c r="AF59" s="33">
        <f t="shared" si="7"/>
        <v>43467</v>
      </c>
      <c r="AG59" s="33">
        <f t="shared" si="8"/>
        <v>43753</v>
      </c>
      <c r="AH59">
        <v>65</v>
      </c>
      <c r="AK59" s="36" t="str">
        <f t="shared" si="1"/>
        <v/>
      </c>
      <c r="AL59">
        <f t="shared" si="9"/>
        <v>14</v>
      </c>
      <c r="AM59">
        <v>14</v>
      </c>
      <c r="AN59">
        <f t="shared" si="2"/>
        <v>287</v>
      </c>
      <c r="AO59" t="str">
        <f t="shared" si="3"/>
        <v>1.1.---2.1.---15.10.</v>
      </c>
      <c r="AP59" t="str">
        <f t="shared" si="4"/>
        <v>Pikku-uikku</v>
      </c>
      <c r="AQ59" t="str">
        <f t="shared" si="10"/>
        <v>(1.1.---2.1.---15.10., 14/21)</v>
      </c>
    </row>
    <row r="60" spans="1:43" x14ac:dyDescent="0.2">
      <c r="A60" s="1"/>
      <c r="B60" s="9">
        <f t="shared" si="5"/>
        <v>57</v>
      </c>
      <c r="C60" s="10"/>
      <c r="D60" s="9" t="s">
        <v>56</v>
      </c>
      <c r="E60" s="10"/>
      <c r="F60" s="11">
        <v>43571</v>
      </c>
      <c r="G60" s="12">
        <v>43577</v>
      </c>
      <c r="H60" s="11">
        <v>43574</v>
      </c>
      <c r="I60" s="12">
        <v>43581</v>
      </c>
      <c r="J60" s="11">
        <v>43571</v>
      </c>
      <c r="K60" s="12">
        <v>43576</v>
      </c>
      <c r="L60" s="11">
        <v>43581</v>
      </c>
      <c r="M60" s="12">
        <v>43565</v>
      </c>
      <c r="N60" s="11">
        <v>43571</v>
      </c>
      <c r="O60" s="12">
        <v>43577</v>
      </c>
      <c r="P60" s="11">
        <v>43580</v>
      </c>
      <c r="Q60" s="12">
        <v>43566</v>
      </c>
      <c r="R60" s="11">
        <f>IF(AG1,DATE(2019,1,8),DATE(2019,4,16))</f>
        <v>43571</v>
      </c>
      <c r="S60" s="12">
        <v>43575</v>
      </c>
      <c r="T60" s="11">
        <v>43568</v>
      </c>
      <c r="U60" s="12">
        <f>IF(AG1,DATE(2019,1,1),DATE(2019,4,12))</f>
        <v>43567</v>
      </c>
      <c r="V60" s="11">
        <v>43566</v>
      </c>
      <c r="W60" s="12">
        <v>43575</v>
      </c>
      <c r="X60" s="11">
        <v>43576</v>
      </c>
      <c r="Y60" s="12">
        <v>43574</v>
      </c>
      <c r="Z60" s="11">
        <v>43564</v>
      </c>
      <c r="AA60" s="12">
        <v>43569</v>
      </c>
      <c r="AB60" s="11">
        <v>43577</v>
      </c>
      <c r="AC60" s="12">
        <v>43575</v>
      </c>
      <c r="AD60" s="34"/>
      <c r="AE60" s="33">
        <f t="shared" si="6"/>
        <v>43564</v>
      </c>
      <c r="AF60" s="33">
        <f t="shared" si="7"/>
        <v>43574</v>
      </c>
      <c r="AG60" s="33">
        <f t="shared" si="8"/>
        <v>43581</v>
      </c>
      <c r="AH60">
        <v>66</v>
      </c>
      <c r="AK60" s="36" t="str">
        <f t="shared" si="1"/>
        <v/>
      </c>
      <c r="AL60" t="str">
        <f t="shared" si="9"/>
        <v/>
      </c>
      <c r="AM60">
        <v>2</v>
      </c>
      <c r="AN60">
        <f t="shared" si="2"/>
        <v>17</v>
      </c>
      <c r="AO60" t="str">
        <f t="shared" si="3"/>
        <v>9.4.---19.4.---26.4.</v>
      </c>
      <c r="AP60" t="str">
        <f t="shared" si="4"/>
        <v>Silkkiuikku</v>
      </c>
      <c r="AQ60" t="str">
        <f t="shared" si="10"/>
        <v>(9.4.---19.4.---26.4., 2/21)</v>
      </c>
    </row>
    <row r="61" spans="1:43" x14ac:dyDescent="0.2">
      <c r="A61" s="1"/>
      <c r="B61" s="9">
        <f t="shared" si="5"/>
        <v>58</v>
      </c>
      <c r="C61" s="10"/>
      <c r="D61" s="9" t="s">
        <v>57</v>
      </c>
      <c r="E61" s="10"/>
      <c r="F61" s="11">
        <v>43592</v>
      </c>
      <c r="G61" s="12">
        <v>43590</v>
      </c>
      <c r="H61" s="11">
        <v>43585</v>
      </c>
      <c r="I61" s="12">
        <v>43592</v>
      </c>
      <c r="J61" s="11">
        <v>43585</v>
      </c>
      <c r="K61" s="12">
        <v>43588</v>
      </c>
      <c r="L61" s="11">
        <v>43589</v>
      </c>
      <c r="M61" s="12">
        <v>43585</v>
      </c>
      <c r="N61" s="11">
        <v>43583</v>
      </c>
      <c r="O61" s="12">
        <v>43584</v>
      </c>
      <c r="P61" s="11">
        <v>43593</v>
      </c>
      <c r="Q61" s="12">
        <v>43586</v>
      </c>
      <c r="R61" s="11">
        <v>43583</v>
      </c>
      <c r="S61" s="12">
        <v>43588</v>
      </c>
      <c r="T61" s="11">
        <v>43580</v>
      </c>
      <c r="U61" s="12">
        <v>43580</v>
      </c>
      <c r="V61" s="11">
        <v>43573</v>
      </c>
      <c r="W61" s="12">
        <v>43587</v>
      </c>
      <c r="X61" s="11">
        <v>43590</v>
      </c>
      <c r="Y61" s="12">
        <v>43586</v>
      </c>
      <c r="Z61" s="11">
        <v>43575</v>
      </c>
      <c r="AA61" s="12">
        <v>43593</v>
      </c>
      <c r="AB61" s="11">
        <v>43591</v>
      </c>
      <c r="AC61" s="12">
        <v>43586</v>
      </c>
      <c r="AD61" s="34"/>
      <c r="AE61" s="33">
        <f t="shared" si="6"/>
        <v>43573</v>
      </c>
      <c r="AF61" s="33">
        <f t="shared" si="7"/>
        <v>43586</v>
      </c>
      <c r="AG61" s="33">
        <f t="shared" si="8"/>
        <v>43593</v>
      </c>
      <c r="AH61">
        <v>67</v>
      </c>
      <c r="AK61" s="36" t="str">
        <f t="shared" si="1"/>
        <v/>
      </c>
      <c r="AL61" t="str">
        <f t="shared" si="9"/>
        <v/>
      </c>
      <c r="AM61" t="s">
        <v>393</v>
      </c>
      <c r="AN61">
        <f t="shared" si="2"/>
        <v>20</v>
      </c>
      <c r="AO61" t="str">
        <f t="shared" si="3"/>
        <v>18.4.---1.5.---8.5.</v>
      </c>
      <c r="AP61" t="str">
        <f t="shared" si="4"/>
        <v>Härkälintu</v>
      </c>
      <c r="AQ61" t="str">
        <f t="shared" si="10"/>
        <v>(18.4.---1.5.---8.5.)</v>
      </c>
    </row>
    <row r="62" spans="1:43" x14ac:dyDescent="0.2">
      <c r="A62" s="1"/>
      <c r="B62" s="9">
        <f t="shared" si="5"/>
        <v>59</v>
      </c>
      <c r="C62" s="10"/>
      <c r="D62" s="9" t="s">
        <v>58</v>
      </c>
      <c r="E62" s="10"/>
      <c r="F62" s="11">
        <v>43581</v>
      </c>
      <c r="G62" s="12">
        <v>43585</v>
      </c>
      <c r="H62" s="11">
        <v>43583</v>
      </c>
      <c r="I62" s="12">
        <v>43578</v>
      </c>
      <c r="J62" s="11">
        <v>43580</v>
      </c>
      <c r="K62" s="12">
        <v>43580</v>
      </c>
      <c r="L62" s="11">
        <v>43585</v>
      </c>
      <c r="M62" s="12">
        <v>43580</v>
      </c>
      <c r="N62" s="11">
        <v>43578</v>
      </c>
      <c r="O62" s="12">
        <v>43582</v>
      </c>
      <c r="P62" s="11">
        <v>43586</v>
      </c>
      <c r="Q62" s="12">
        <v>43583</v>
      </c>
      <c r="R62" s="11">
        <v>43583</v>
      </c>
      <c r="S62" s="12">
        <v>43585</v>
      </c>
      <c r="T62" s="11">
        <v>43573</v>
      </c>
      <c r="U62" s="12">
        <v>43577</v>
      </c>
      <c r="V62" s="11">
        <v>43574</v>
      </c>
      <c r="W62" s="12">
        <v>43580</v>
      </c>
      <c r="X62" s="11">
        <v>43584</v>
      </c>
      <c r="Y62" s="12">
        <v>43579</v>
      </c>
      <c r="Z62" s="11">
        <v>43575</v>
      </c>
      <c r="AA62" s="12">
        <v>43577</v>
      </c>
      <c r="AB62" s="11">
        <v>43582</v>
      </c>
      <c r="AC62" s="12">
        <v>43587</v>
      </c>
      <c r="AD62" s="34"/>
      <c r="AE62" s="33">
        <f t="shared" si="6"/>
        <v>43573</v>
      </c>
      <c r="AF62" s="33">
        <f t="shared" si="7"/>
        <v>43580</v>
      </c>
      <c r="AG62" s="33">
        <f t="shared" si="8"/>
        <v>43586</v>
      </c>
      <c r="AH62">
        <v>68</v>
      </c>
      <c r="AK62" s="36" t="str">
        <f t="shared" si="1"/>
        <v/>
      </c>
      <c r="AL62" t="str">
        <f t="shared" si="9"/>
        <v/>
      </c>
      <c r="AM62" t="s">
        <v>393</v>
      </c>
      <c r="AN62">
        <f t="shared" si="2"/>
        <v>13</v>
      </c>
      <c r="AO62" t="str">
        <f t="shared" si="3"/>
        <v>18.4.---25.4.---1.5.</v>
      </c>
      <c r="AP62" t="str">
        <f t="shared" si="4"/>
        <v>Mustakurkku-uikku</v>
      </c>
      <c r="AQ62" t="str">
        <f t="shared" si="10"/>
        <v>(18.4.---25.4.---1.5.)</v>
      </c>
    </row>
    <row r="63" spans="1:43" x14ac:dyDescent="0.2">
      <c r="A63" s="1"/>
      <c r="B63" s="9">
        <f t="shared" si="5"/>
        <v>60</v>
      </c>
      <c r="C63" s="10"/>
      <c r="D63" s="15" t="s">
        <v>59</v>
      </c>
      <c r="E63" s="16"/>
      <c r="F63" s="11"/>
      <c r="G63" s="12"/>
      <c r="H63" s="11"/>
      <c r="I63" s="12"/>
      <c r="J63" s="11"/>
      <c r="K63" s="12"/>
      <c r="L63" s="11"/>
      <c r="M63" s="12"/>
      <c r="N63" s="11">
        <v>43610</v>
      </c>
      <c r="O63" s="12"/>
      <c r="P63" s="11"/>
      <c r="Q63" s="12"/>
      <c r="R63" s="11">
        <v>43593</v>
      </c>
      <c r="S63" s="12"/>
      <c r="T63" s="11">
        <v>43602</v>
      </c>
      <c r="U63" s="12"/>
      <c r="V63" s="11"/>
      <c r="W63" s="12"/>
      <c r="X63" s="11"/>
      <c r="Y63" s="12"/>
      <c r="Z63" s="11">
        <v>43727</v>
      </c>
      <c r="AA63" s="12"/>
      <c r="AB63" s="11"/>
      <c r="AC63" s="12"/>
      <c r="AD63" s="34"/>
      <c r="AE63" s="33">
        <f t="shared" si="6"/>
        <v>43593</v>
      </c>
      <c r="AF63" s="33">
        <f t="shared" si="7"/>
        <v>43606</v>
      </c>
      <c r="AG63" s="33">
        <f t="shared" si="8"/>
        <v>43727</v>
      </c>
      <c r="AH63">
        <v>69</v>
      </c>
      <c r="AK63" s="36" t="str">
        <f t="shared" si="1"/>
        <v/>
      </c>
      <c r="AL63" t="str">
        <f t="shared" si="9"/>
        <v/>
      </c>
      <c r="AM63" t="s">
        <v>393</v>
      </c>
      <c r="AN63">
        <f t="shared" si="2"/>
        <v>134</v>
      </c>
      <c r="AO63" t="str">
        <f t="shared" si="3"/>
        <v>8.5.---21.5.---19.9.</v>
      </c>
      <c r="AP63" t="str">
        <f t="shared" si="4"/>
        <v>Mustakaulauikku</v>
      </c>
      <c r="AQ63" t="str">
        <f t="shared" si="10"/>
        <v>(8.5.---21.5.---19.9.)</v>
      </c>
    </row>
    <row r="64" spans="1:43" x14ac:dyDescent="0.2">
      <c r="A64" s="1"/>
      <c r="B64" s="9">
        <f t="shared" si="5"/>
        <v>61</v>
      </c>
      <c r="C64" s="10"/>
      <c r="D64" s="15" t="s">
        <v>60</v>
      </c>
      <c r="E64" s="16"/>
      <c r="F64" s="11"/>
      <c r="G64" s="12"/>
      <c r="H64" s="11"/>
      <c r="I64" s="12"/>
      <c r="J64" s="11"/>
      <c r="K64" s="12"/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  <c r="AA64" s="12"/>
      <c r="AB64" s="11"/>
      <c r="AC64" s="12"/>
      <c r="AD64" s="34"/>
      <c r="AE64" s="33" t="str">
        <f t="shared" si="6"/>
        <v/>
      </c>
      <c r="AF64" s="33" t="str">
        <f t="shared" si="7"/>
        <v/>
      </c>
      <c r="AG64" s="33" t="str">
        <f t="shared" si="8"/>
        <v/>
      </c>
      <c r="AH64">
        <v>70</v>
      </c>
      <c r="AK64" s="36" t="str">
        <f t="shared" si="1"/>
        <v/>
      </c>
      <c r="AL64" t="str">
        <f t="shared" si="9"/>
        <v/>
      </c>
      <c r="AM64" t="s">
        <v>393</v>
      </c>
      <c r="AN64" t="e">
        <f t="shared" si="2"/>
        <v>#VALUE!</v>
      </c>
      <c r="AO64" t="str">
        <f t="shared" si="3"/>
        <v>------</v>
      </c>
      <c r="AP64" t="str">
        <f t="shared" si="4"/>
        <v>Myrskylintu</v>
      </c>
      <c r="AQ64" t="str">
        <f t="shared" si="10"/>
        <v>(------)</v>
      </c>
    </row>
    <row r="65" spans="1:43" x14ac:dyDescent="0.2">
      <c r="A65" s="1"/>
      <c r="B65" s="9">
        <f t="shared" si="5"/>
        <v>62</v>
      </c>
      <c r="C65" s="10"/>
      <c r="D65" s="15" t="s">
        <v>61</v>
      </c>
      <c r="E65" s="16"/>
      <c r="F65" s="11"/>
      <c r="G65" s="12"/>
      <c r="H65" s="11"/>
      <c r="I65" s="12"/>
      <c r="J65" s="11"/>
      <c r="K65" s="12"/>
      <c r="L65" s="11"/>
      <c r="M65" s="12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  <c r="AA65" s="12"/>
      <c r="AB65" s="11"/>
      <c r="AC65" s="12"/>
      <c r="AD65" s="34"/>
      <c r="AE65" s="33" t="str">
        <f t="shared" si="6"/>
        <v/>
      </c>
      <c r="AF65" s="33" t="str">
        <f t="shared" si="7"/>
        <v/>
      </c>
      <c r="AG65" s="33" t="str">
        <f t="shared" si="8"/>
        <v/>
      </c>
      <c r="AH65">
        <v>75</v>
      </c>
      <c r="AK65" s="36" t="str">
        <f t="shared" si="1"/>
        <v/>
      </c>
      <c r="AL65" t="str">
        <f t="shared" si="9"/>
        <v/>
      </c>
      <c r="AM65" t="s">
        <v>393</v>
      </c>
      <c r="AN65" t="e">
        <f t="shared" si="2"/>
        <v>#VALUE!</v>
      </c>
      <c r="AO65" t="str">
        <f t="shared" si="3"/>
        <v>------</v>
      </c>
      <c r="AP65" t="str">
        <f t="shared" si="4"/>
        <v>Myrskykeiju</v>
      </c>
      <c r="AQ65" t="str">
        <f t="shared" si="10"/>
        <v>(------)</v>
      </c>
    </row>
    <row r="66" spans="1:43" x14ac:dyDescent="0.2">
      <c r="A66" s="1"/>
      <c r="B66" s="9">
        <f t="shared" si="5"/>
        <v>63</v>
      </c>
      <c r="C66" s="10"/>
      <c r="D66" s="15" t="s">
        <v>62</v>
      </c>
      <c r="E66" s="16"/>
      <c r="F66" s="11"/>
      <c r="G66" s="12"/>
      <c r="H66" s="11"/>
      <c r="I66" s="12"/>
      <c r="J66" s="11"/>
      <c r="K66" s="12"/>
      <c r="L66" s="11"/>
      <c r="M66" s="12"/>
      <c r="N66" s="11">
        <v>43617</v>
      </c>
      <c r="O66" s="12"/>
      <c r="P66" s="11"/>
      <c r="Q66" s="12"/>
      <c r="R66" s="11"/>
      <c r="S66" s="12"/>
      <c r="T66" s="11">
        <v>43750</v>
      </c>
      <c r="U66" s="12"/>
      <c r="V66" s="11">
        <v>43620</v>
      </c>
      <c r="W66" s="12"/>
      <c r="X66" s="11"/>
      <c r="Y66" s="12"/>
      <c r="Z66" s="11"/>
      <c r="AA66" s="12"/>
      <c r="AB66" s="11"/>
      <c r="AC66" s="12"/>
      <c r="AD66" s="34"/>
      <c r="AE66" s="33">
        <f t="shared" si="6"/>
        <v>43617</v>
      </c>
      <c r="AF66" s="33">
        <f t="shared" si="7"/>
        <v>43620</v>
      </c>
      <c r="AG66" s="33">
        <f t="shared" si="8"/>
        <v>43750</v>
      </c>
      <c r="AH66">
        <v>78</v>
      </c>
      <c r="AK66" s="36" t="str">
        <f t="shared" si="1"/>
        <v/>
      </c>
      <c r="AL66" t="str">
        <f t="shared" si="9"/>
        <v/>
      </c>
      <c r="AM66" t="s">
        <v>393</v>
      </c>
      <c r="AN66">
        <f t="shared" si="2"/>
        <v>133</v>
      </c>
      <c r="AO66" t="str">
        <f t="shared" si="3"/>
        <v>1.6.---4.6.---12.10.</v>
      </c>
      <c r="AP66" t="str">
        <f t="shared" si="4"/>
        <v>Suula</v>
      </c>
      <c r="AQ66" t="str">
        <f t="shared" si="10"/>
        <v>(1.6.---4.6.---12.10.)</v>
      </c>
    </row>
    <row r="67" spans="1:43" x14ac:dyDescent="0.2">
      <c r="A67" s="1"/>
      <c r="B67" s="9">
        <f t="shared" si="5"/>
        <v>64</v>
      </c>
      <c r="C67" s="10"/>
      <c r="D67" s="9" t="s">
        <v>63</v>
      </c>
      <c r="E67" s="10"/>
      <c r="F67" s="11">
        <v>43547</v>
      </c>
      <c r="G67" s="12">
        <f>IF(AG1,DATE(2019,1,3),DATE(2019,4,10))</f>
        <v>43565</v>
      </c>
      <c r="H67" s="11">
        <f>IF(AG1,DATE(2019,1,8),DATE(2019,3,25))</f>
        <v>43549</v>
      </c>
      <c r="I67" s="12">
        <f>IF(AG1,DATE(2019,1,1),DATE(2019,3,20))</f>
        <v>43544</v>
      </c>
      <c r="J67" s="11">
        <v>43538</v>
      </c>
      <c r="K67" s="12">
        <f>IF(AG1,DATE(2019,1,4),DATE(2019,3,26))</f>
        <v>43550</v>
      </c>
      <c r="L67" s="11">
        <v>43564</v>
      </c>
      <c r="M67" s="12">
        <f>IF(AG1,DATE(2019,1,4),DATE(2019,3,26))</f>
        <v>43550</v>
      </c>
      <c r="N67" s="11">
        <f>IF(AG1,DATE(2019,1,1),DATE(2019,3,18))</f>
        <v>43542</v>
      </c>
      <c r="O67" s="12">
        <f>IF(AG1,DATE(2019,1,1),DATE(2019,3,22))</f>
        <v>43546</v>
      </c>
      <c r="P67" s="11">
        <f>IF(AG1,DATE(2019,1,4),DATE(2019,3,31))</f>
        <v>43555</v>
      </c>
      <c r="Q67" s="12">
        <f>IF(AG1,DATE(2019,1,20),DATE(2019,4,5))</f>
        <v>43560</v>
      </c>
      <c r="R67" s="11">
        <f>IF(AG1,DATE(2019,1,1),DATE(2019,3,16))</f>
        <v>43540</v>
      </c>
      <c r="S67" s="12">
        <f>IF(AG1,DATE(2019,2,15),DATE(2019,4,9))</f>
        <v>43564</v>
      </c>
      <c r="T67" s="11">
        <f>IF(AG1,DATE(2019,1,2),DATE(2019,3,11))</f>
        <v>43535</v>
      </c>
      <c r="U67" s="12">
        <f>IF(AG1,DATE(2019,1,12),DATE(2019,3,16))</f>
        <v>43540</v>
      </c>
      <c r="V67" s="11">
        <f>IF(AG1,DATE(2019,1,1),DATE(2019,3,2))</f>
        <v>43526</v>
      </c>
      <c r="W67" s="12">
        <f>IF(AG1,DATE(2019,1,7),DATE(2019,3,14))</f>
        <v>43538</v>
      </c>
      <c r="X67" s="11">
        <f>IF(AG1,DATE(2019,1,1),DATE(2019,4,4))</f>
        <v>43559</v>
      </c>
      <c r="Y67" s="12">
        <v>43538</v>
      </c>
      <c r="Z67" s="11">
        <f>IF(AG1,DATE(2019,1,4),DATE(2019,3,10))</f>
        <v>43534</v>
      </c>
      <c r="AA67" s="12">
        <f>IF(AG1,DATE(2019,1,1),DATE(2019,3,24))</f>
        <v>43548</v>
      </c>
      <c r="AB67" s="11">
        <f>IF(AF1,DATE(2019,1,5),DATE(2019,3,16))</f>
        <v>43540</v>
      </c>
      <c r="AC67" s="12">
        <v>43466</v>
      </c>
      <c r="AD67" s="34"/>
      <c r="AE67" s="33">
        <f t="shared" si="6"/>
        <v>43526</v>
      </c>
      <c r="AF67" s="33">
        <f t="shared" si="7"/>
        <v>43546</v>
      </c>
      <c r="AG67" s="33">
        <f t="shared" si="8"/>
        <v>43565</v>
      </c>
      <c r="AH67">
        <v>79</v>
      </c>
      <c r="AK67" s="36" t="str">
        <f t="shared" si="1"/>
        <v/>
      </c>
      <c r="AL67" t="str">
        <f t="shared" si="9"/>
        <v/>
      </c>
      <c r="AM67">
        <v>17</v>
      </c>
      <c r="AN67">
        <f t="shared" si="2"/>
        <v>39</v>
      </c>
      <c r="AO67" t="str">
        <f t="shared" si="3"/>
        <v>2.3.---22.3.---10.4.</v>
      </c>
      <c r="AP67" t="str">
        <f t="shared" si="4"/>
        <v>Merimetso</v>
      </c>
      <c r="AQ67" t="str">
        <f t="shared" si="10"/>
        <v>(2.3.---22.3.---10.4., 17/21)</v>
      </c>
    </row>
    <row r="68" spans="1:43" x14ac:dyDescent="0.2">
      <c r="A68" s="1"/>
      <c r="B68" s="9">
        <f t="shared" si="5"/>
        <v>65</v>
      </c>
      <c r="C68" s="10"/>
      <c r="D68" s="15" t="s">
        <v>64</v>
      </c>
      <c r="E68" s="16"/>
      <c r="F68" s="11"/>
      <c r="G68" s="12"/>
      <c r="H68" s="11"/>
      <c r="I68" s="12"/>
      <c r="J68" s="11"/>
      <c r="K68" s="12"/>
      <c r="L68" s="11"/>
      <c r="M68" s="12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  <c r="AA68" s="12"/>
      <c r="AB68" s="11"/>
      <c r="AC68" s="12"/>
      <c r="AD68" s="34"/>
      <c r="AE68" s="33" t="str">
        <f t="shared" si="6"/>
        <v/>
      </c>
      <c r="AF68" s="33" t="str">
        <f t="shared" si="7"/>
        <v/>
      </c>
      <c r="AG68" s="33" t="str">
        <f t="shared" si="8"/>
        <v/>
      </c>
      <c r="AH68">
        <v>82</v>
      </c>
      <c r="AK68" s="36" t="str">
        <f t="shared" ref="AK68:AK131" si="11">IF(AI68&lt;&gt;"",D68 &amp; "x" &amp; TEXT(AE68, "pp.kk.")  &amp; "2019x" &amp; TEXT(Z68, "pp.kk.") &amp; "2019","")</f>
        <v/>
      </c>
      <c r="AL68" t="str">
        <f t="shared" si="9"/>
        <v/>
      </c>
      <c r="AM68" t="s">
        <v>393</v>
      </c>
      <c r="AN68" t="e">
        <f t="shared" ref="AN68:AN131" si="12">AG68-AE68</f>
        <v>#VALUE!</v>
      </c>
      <c r="AO68" t="str">
        <f t="shared" ref="AO68:AO131" si="13">TEXT(AE68, "p.k.")  &amp; "---" &amp; TEXT(AF68, "p.k.")  &amp; "---" &amp; TEXT(AG68, "p.k.")</f>
        <v>------</v>
      </c>
      <c r="AP68" t="str">
        <f t="shared" ref="AP68:AP131" si="14">D68</f>
        <v>Pelikaani</v>
      </c>
      <c r="AQ68" t="str">
        <f t="shared" si="10"/>
        <v>(------)</v>
      </c>
    </row>
    <row r="69" spans="1:43" x14ac:dyDescent="0.2">
      <c r="A69" s="1"/>
      <c r="B69" s="9">
        <f t="shared" ref="B69:B92" si="15">B68+1</f>
        <v>66</v>
      </c>
      <c r="C69" s="10"/>
      <c r="D69" s="9" t="s">
        <v>65</v>
      </c>
      <c r="E69" s="10"/>
      <c r="F69" s="11">
        <v>43574</v>
      </c>
      <c r="G69" s="12">
        <v>43569</v>
      </c>
      <c r="H69" s="11">
        <v>43553</v>
      </c>
      <c r="I69" s="12">
        <v>43574</v>
      </c>
      <c r="J69" s="11">
        <v>43544</v>
      </c>
      <c r="K69" s="12">
        <v>43564</v>
      </c>
      <c r="L69" s="11">
        <v>43561</v>
      </c>
      <c r="M69" s="12">
        <v>43547</v>
      </c>
      <c r="N69" s="11">
        <v>43561</v>
      </c>
      <c r="O69" s="12">
        <v>43580</v>
      </c>
      <c r="P69" s="11">
        <v>43571</v>
      </c>
      <c r="Q69" s="12">
        <v>43572</v>
      </c>
      <c r="R69" s="11">
        <v>43548</v>
      </c>
      <c r="S69" s="12">
        <v>43569</v>
      </c>
      <c r="T69" s="11">
        <v>43552</v>
      </c>
      <c r="U69" s="12">
        <v>43560</v>
      </c>
      <c r="V69" s="11">
        <v>43552</v>
      </c>
      <c r="W69" s="12">
        <v>43561</v>
      </c>
      <c r="X69" s="11">
        <v>43572</v>
      </c>
      <c r="Y69" s="12">
        <v>43568</v>
      </c>
      <c r="Z69" s="11">
        <v>43562</v>
      </c>
      <c r="AA69" s="12">
        <v>43568</v>
      </c>
      <c r="AB69" s="11">
        <v>43556</v>
      </c>
      <c r="AC69" s="12">
        <v>43575</v>
      </c>
      <c r="AD69" s="34"/>
      <c r="AE69" s="33">
        <f t="shared" ref="AE69:AE132" si="16">IF(SUM(F69:Z69)&gt;0,MIN(F69:Z69),"")</f>
        <v>43544</v>
      </c>
      <c r="AF69" s="33">
        <f t="shared" ref="AF69:AF132" si="17">IF(SUM(F69:Z69)&gt;0,MEDIAN(F69:Z69),"")</f>
        <v>43562</v>
      </c>
      <c r="AG69" s="33">
        <f t="shared" ref="AG69:AG132" si="18">IF(SUM(F69:Z69)&gt;0,MAX(F69:Z69),"")</f>
        <v>43580</v>
      </c>
      <c r="AH69">
        <v>83</v>
      </c>
      <c r="AK69" s="36" t="str">
        <f t="shared" si="11"/>
        <v/>
      </c>
      <c r="AL69" t="str">
        <f t="shared" ref="AL69:AL132" si="19">IF(COUNTIF(F69:Z69,"&lt;01.03.2019")&gt;0,COUNTIF(F69:Z69,"&lt;01.03.2019"),"")</f>
        <v/>
      </c>
      <c r="AM69" t="s">
        <v>393</v>
      </c>
      <c r="AN69">
        <f t="shared" si="12"/>
        <v>36</v>
      </c>
      <c r="AO69" t="str">
        <f t="shared" si="13"/>
        <v>20.3.---7.4.---25.4.</v>
      </c>
      <c r="AP69" t="str">
        <f t="shared" si="14"/>
        <v>Kaulushaikara</v>
      </c>
      <c r="AQ69" t="str">
        <f t="shared" ref="AQ69:AQ132" si="20">IF(AND(AM69&gt;0,AM69&lt;&gt;""),"(" &amp;AO69 &amp; ", " &amp; AM69 &amp; "/21)","(" &amp; AO69 &amp; ")")</f>
        <v>(20.3.---7.4.---25.4.)</v>
      </c>
    </row>
    <row r="70" spans="1:43" x14ac:dyDescent="0.2">
      <c r="A70" s="27"/>
      <c r="B70" s="9">
        <f t="shared" si="15"/>
        <v>67</v>
      </c>
      <c r="C70" s="10"/>
      <c r="D70" s="15" t="s">
        <v>385</v>
      </c>
      <c r="E70" s="16"/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12"/>
      <c r="R70" s="11"/>
      <c r="S70" s="12"/>
      <c r="T70" s="11"/>
      <c r="U70" s="12"/>
      <c r="V70" s="11"/>
      <c r="W70" s="12"/>
      <c r="X70" s="11"/>
      <c r="Y70" s="12">
        <v>43748</v>
      </c>
      <c r="Z70" s="11"/>
      <c r="AA70" s="12"/>
      <c r="AB70" s="11"/>
      <c r="AC70" s="12"/>
      <c r="AD70" s="34"/>
      <c r="AE70" s="33">
        <f t="shared" si="16"/>
        <v>43748</v>
      </c>
      <c r="AF70" s="33">
        <f t="shared" si="17"/>
        <v>43748</v>
      </c>
      <c r="AG70" s="33">
        <f t="shared" si="18"/>
        <v>43748</v>
      </c>
      <c r="AH70">
        <v>86.299999999999983</v>
      </c>
      <c r="AK70" s="36" t="str">
        <f t="shared" si="11"/>
        <v/>
      </c>
      <c r="AL70" t="str">
        <f t="shared" si="19"/>
        <v/>
      </c>
      <c r="AM70" t="s">
        <v>393</v>
      </c>
      <c r="AN70">
        <f t="shared" si="12"/>
        <v>0</v>
      </c>
      <c r="AO70" t="str">
        <f t="shared" si="13"/>
        <v>10.10.---10.10.---10.10.</v>
      </c>
      <c r="AP70" t="str">
        <f t="shared" si="14"/>
        <v>Rääkkähaikaralaji</v>
      </c>
      <c r="AQ70" t="str">
        <f t="shared" si="20"/>
        <v>(10.10.---10.10.---10.10.)</v>
      </c>
    </row>
    <row r="71" spans="1:43" x14ac:dyDescent="0.2">
      <c r="A71" s="27"/>
      <c r="B71" s="9">
        <f t="shared" si="15"/>
        <v>68</v>
      </c>
      <c r="C71" s="10"/>
      <c r="D71" s="15" t="s">
        <v>386</v>
      </c>
      <c r="E71" s="16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11"/>
      <c r="Q71" s="12"/>
      <c r="R71" s="11"/>
      <c r="S71" s="12"/>
      <c r="T71" s="11"/>
      <c r="U71" s="12"/>
      <c r="V71" s="11"/>
      <c r="W71" s="12"/>
      <c r="X71" s="11"/>
      <c r="Y71" s="12"/>
      <c r="Z71" s="11"/>
      <c r="AA71" s="12">
        <v>43606</v>
      </c>
      <c r="AB71" s="11"/>
      <c r="AC71" s="12"/>
      <c r="AD71" s="34"/>
      <c r="AE71" s="33" t="str">
        <f t="shared" si="16"/>
        <v/>
      </c>
      <c r="AF71" s="33" t="str">
        <f t="shared" si="17"/>
        <v/>
      </c>
      <c r="AG71" s="33" t="str">
        <f t="shared" si="18"/>
        <v/>
      </c>
      <c r="AH71">
        <v>87</v>
      </c>
      <c r="AK71" s="36" t="str">
        <f t="shared" si="11"/>
        <v/>
      </c>
      <c r="AL71" t="str">
        <f t="shared" si="19"/>
        <v/>
      </c>
      <c r="AM71" t="s">
        <v>393</v>
      </c>
      <c r="AN71" t="e">
        <f t="shared" si="12"/>
        <v>#VALUE!</v>
      </c>
      <c r="AO71" t="str">
        <f t="shared" si="13"/>
        <v>------</v>
      </c>
      <c r="AP71" t="str">
        <f t="shared" si="14"/>
        <v>Lehmähaikara</v>
      </c>
      <c r="AQ71" t="str">
        <f t="shared" si="20"/>
        <v>(------)</v>
      </c>
    </row>
    <row r="72" spans="1:43" x14ac:dyDescent="0.2">
      <c r="A72" s="1"/>
      <c r="B72" s="9">
        <f t="shared" si="15"/>
        <v>69</v>
      </c>
      <c r="C72" s="10"/>
      <c r="D72" s="15" t="s">
        <v>66</v>
      </c>
      <c r="E72" s="16"/>
      <c r="F72" s="11"/>
      <c r="G72" s="12"/>
      <c r="H72" s="11"/>
      <c r="I72" s="12"/>
      <c r="J72" s="11"/>
      <c r="K72" s="12"/>
      <c r="L72" s="11"/>
      <c r="M72" s="12"/>
      <c r="N72" s="11"/>
      <c r="O72" s="12"/>
      <c r="P72" s="11"/>
      <c r="Q72" s="12"/>
      <c r="R72" s="11"/>
      <c r="S72" s="12"/>
      <c r="T72" s="11"/>
      <c r="U72" s="12">
        <v>43593</v>
      </c>
      <c r="V72" s="11"/>
      <c r="W72" s="12"/>
      <c r="X72" s="11"/>
      <c r="Y72" s="12"/>
      <c r="Z72" s="11"/>
      <c r="AA72" s="12"/>
      <c r="AB72" s="11"/>
      <c r="AC72" s="12"/>
      <c r="AD72" s="34"/>
      <c r="AE72" s="33">
        <f t="shared" si="16"/>
        <v>43593</v>
      </c>
      <c r="AF72" s="33">
        <f t="shared" si="17"/>
        <v>43593</v>
      </c>
      <c r="AG72" s="33">
        <f t="shared" si="18"/>
        <v>43593</v>
      </c>
      <c r="AH72">
        <v>88</v>
      </c>
      <c r="AK72" s="36" t="str">
        <f t="shared" si="11"/>
        <v/>
      </c>
      <c r="AL72" t="str">
        <f t="shared" si="19"/>
        <v/>
      </c>
      <c r="AM72" t="s">
        <v>393</v>
      </c>
      <c r="AN72">
        <f t="shared" si="12"/>
        <v>0</v>
      </c>
      <c r="AO72" t="str">
        <f t="shared" si="13"/>
        <v>8.5.---8.5.---8.5.</v>
      </c>
      <c r="AP72" t="str">
        <f t="shared" si="14"/>
        <v>Silkkihaikara</v>
      </c>
      <c r="AQ72" t="str">
        <f t="shared" si="20"/>
        <v>(8.5.---8.5.---8.5.)</v>
      </c>
    </row>
    <row r="73" spans="1:43" x14ac:dyDescent="0.2">
      <c r="A73" s="1"/>
      <c r="B73" s="9">
        <f t="shared" si="15"/>
        <v>70</v>
      </c>
      <c r="C73" s="10"/>
      <c r="D73" s="13" t="s">
        <v>67</v>
      </c>
      <c r="E73" s="14"/>
      <c r="F73" s="11"/>
      <c r="G73" s="12"/>
      <c r="H73" s="11"/>
      <c r="I73" s="12"/>
      <c r="J73" s="11">
        <v>43685</v>
      </c>
      <c r="K73" s="12">
        <v>43633</v>
      </c>
      <c r="L73" s="11">
        <v>43585</v>
      </c>
      <c r="M73" s="12">
        <f>IF(AG1,DATE(2019,1,1),DATE(2019,5,28))</f>
        <v>43613</v>
      </c>
      <c r="N73" s="11"/>
      <c r="O73" s="12">
        <v>43563</v>
      </c>
      <c r="P73" s="11">
        <v>43601</v>
      </c>
      <c r="Q73" s="12">
        <v>43600</v>
      </c>
      <c r="R73" s="11">
        <v>43598</v>
      </c>
      <c r="S73" s="12">
        <v>43622</v>
      </c>
      <c r="T73" s="11">
        <v>43610</v>
      </c>
      <c r="U73" s="12">
        <v>43586</v>
      </c>
      <c r="V73" s="11">
        <v>43553</v>
      </c>
      <c r="W73" s="12">
        <v>43613</v>
      </c>
      <c r="X73" s="11">
        <v>43590</v>
      </c>
      <c r="Y73" s="12">
        <f>IF(AG1,DATE(2019,1,2),DATE(2019,6,9))</f>
        <v>43625</v>
      </c>
      <c r="Z73" s="11">
        <v>43578</v>
      </c>
      <c r="AA73" s="12">
        <v>43521</v>
      </c>
      <c r="AB73" s="11">
        <v>43544</v>
      </c>
      <c r="AC73" s="12">
        <v>43575</v>
      </c>
      <c r="AD73" s="34"/>
      <c r="AE73" s="33">
        <f t="shared" si="16"/>
        <v>43553</v>
      </c>
      <c r="AF73" s="33">
        <f t="shared" si="17"/>
        <v>43600.5</v>
      </c>
      <c r="AG73" s="33">
        <f t="shared" si="18"/>
        <v>43685</v>
      </c>
      <c r="AH73">
        <v>89</v>
      </c>
      <c r="AK73" s="36" t="str">
        <f t="shared" si="11"/>
        <v/>
      </c>
      <c r="AL73" t="str">
        <f t="shared" si="19"/>
        <v/>
      </c>
      <c r="AM73">
        <v>2</v>
      </c>
      <c r="AN73">
        <f t="shared" si="12"/>
        <v>132</v>
      </c>
      <c r="AO73" t="str">
        <f t="shared" si="13"/>
        <v>29.3.---15.5.---8.8.</v>
      </c>
      <c r="AP73" t="str">
        <f t="shared" si="14"/>
        <v>Jalohaikara</v>
      </c>
      <c r="AQ73" t="str">
        <f t="shared" si="20"/>
        <v>(29.3.---15.5.---8.8., 2/21)</v>
      </c>
    </row>
    <row r="74" spans="1:43" x14ac:dyDescent="0.2">
      <c r="A74" s="1"/>
      <c r="B74" s="9">
        <f t="shared" si="15"/>
        <v>71</v>
      </c>
      <c r="C74" s="10"/>
      <c r="D74" s="9" t="s">
        <v>68</v>
      </c>
      <c r="E74" s="10"/>
      <c r="F74" s="11">
        <v>43555</v>
      </c>
      <c r="G74" s="12">
        <v>43566</v>
      </c>
      <c r="H74" s="11">
        <v>43557</v>
      </c>
      <c r="I74" s="12">
        <v>43571</v>
      </c>
      <c r="J74" s="11">
        <f>IF(AG1,DATE(2019,1,1),DATE(2019,4,10))</f>
        <v>43565</v>
      </c>
      <c r="K74" s="12">
        <v>43564</v>
      </c>
      <c r="L74" s="11">
        <v>43568</v>
      </c>
      <c r="M74" s="12">
        <v>43567</v>
      </c>
      <c r="N74" s="11">
        <v>43570</v>
      </c>
      <c r="O74" s="12">
        <v>43560</v>
      </c>
      <c r="P74" s="11">
        <v>43566</v>
      </c>
      <c r="Q74" s="12">
        <v>43558</v>
      </c>
      <c r="R74" s="11">
        <v>43567</v>
      </c>
      <c r="S74" s="12">
        <v>43572</v>
      </c>
      <c r="T74" s="11">
        <v>43569</v>
      </c>
      <c r="U74" s="12">
        <v>43543</v>
      </c>
      <c r="V74" s="11">
        <v>43566</v>
      </c>
      <c r="W74" s="12">
        <v>43564</v>
      </c>
      <c r="X74" s="11">
        <v>43576</v>
      </c>
      <c r="Y74" s="12">
        <v>43561</v>
      </c>
      <c r="Z74" s="11">
        <v>43567</v>
      </c>
      <c r="AA74" s="12">
        <f>IF(AG1,DATE(2019,1,12),DATE(2019,4,8))</f>
        <v>43563</v>
      </c>
      <c r="AB74" s="11">
        <v>43551</v>
      </c>
      <c r="AC74" s="12">
        <v>43560</v>
      </c>
      <c r="AD74" s="34"/>
      <c r="AE74" s="33">
        <f t="shared" si="16"/>
        <v>43543</v>
      </c>
      <c r="AF74" s="33">
        <f t="shared" si="17"/>
        <v>43566</v>
      </c>
      <c r="AG74" s="33">
        <f t="shared" si="18"/>
        <v>43576</v>
      </c>
      <c r="AH74">
        <v>90</v>
      </c>
      <c r="AK74" s="36" t="str">
        <f t="shared" si="11"/>
        <v/>
      </c>
      <c r="AL74" t="str">
        <f t="shared" si="19"/>
        <v/>
      </c>
      <c r="AM74">
        <v>1</v>
      </c>
      <c r="AN74">
        <f t="shared" si="12"/>
        <v>33</v>
      </c>
      <c r="AO74" t="str">
        <f t="shared" si="13"/>
        <v>19.3.---11.4.---21.4.</v>
      </c>
      <c r="AP74" t="str">
        <f t="shared" si="14"/>
        <v>Harmaahaikara</v>
      </c>
      <c r="AQ74" t="str">
        <f t="shared" si="20"/>
        <v>(19.3.---11.4.---21.4., 1/21)</v>
      </c>
    </row>
    <row r="75" spans="1:43" x14ac:dyDescent="0.2">
      <c r="A75" s="1"/>
      <c r="B75" s="9">
        <f t="shared" si="15"/>
        <v>72</v>
      </c>
      <c r="C75" s="10"/>
      <c r="D75" s="13" t="s">
        <v>69</v>
      </c>
      <c r="E75" s="14"/>
      <c r="F75" s="11"/>
      <c r="G75" s="12"/>
      <c r="H75" s="11"/>
      <c r="I75" s="12">
        <v>43625</v>
      </c>
      <c r="J75" s="11"/>
      <c r="K75" s="12"/>
      <c r="L75" s="11"/>
      <c r="M75" s="12"/>
      <c r="N75" s="11"/>
      <c r="O75" s="12"/>
      <c r="P75" s="11"/>
      <c r="Q75" s="12"/>
      <c r="R75" s="11"/>
      <c r="S75" s="12"/>
      <c r="T75" s="11"/>
      <c r="U75" s="12"/>
      <c r="V75" s="11"/>
      <c r="W75" s="12"/>
      <c r="X75" s="11"/>
      <c r="Y75" s="12"/>
      <c r="Z75" s="11"/>
      <c r="AA75" s="12"/>
      <c r="AB75" s="11"/>
      <c r="AC75" s="12"/>
      <c r="AD75" s="34"/>
      <c r="AE75" s="33">
        <f t="shared" si="16"/>
        <v>43625</v>
      </c>
      <c r="AF75" s="33">
        <f t="shared" si="17"/>
        <v>43625</v>
      </c>
      <c r="AG75" s="33">
        <f t="shared" si="18"/>
        <v>43625</v>
      </c>
      <c r="AH75">
        <v>92</v>
      </c>
      <c r="AK75" s="36" t="str">
        <f t="shared" si="11"/>
        <v/>
      </c>
      <c r="AL75" t="str">
        <f t="shared" si="19"/>
        <v/>
      </c>
      <c r="AM75" t="s">
        <v>393</v>
      </c>
      <c r="AN75">
        <f t="shared" si="12"/>
        <v>0</v>
      </c>
      <c r="AO75" t="str">
        <f t="shared" si="13"/>
        <v>9.6.---9.6.---9.6.</v>
      </c>
      <c r="AP75" t="str">
        <f t="shared" si="14"/>
        <v>Mustahaikara</v>
      </c>
      <c r="AQ75" t="str">
        <f t="shared" si="20"/>
        <v>(9.6.---9.6.---9.6.)</v>
      </c>
    </row>
    <row r="76" spans="1:43" x14ac:dyDescent="0.2">
      <c r="A76" s="1"/>
      <c r="B76" s="9">
        <f t="shared" si="15"/>
        <v>73</v>
      </c>
      <c r="C76" s="10"/>
      <c r="D76" s="9" t="s">
        <v>70</v>
      </c>
      <c r="E76" s="10"/>
      <c r="F76" s="11"/>
      <c r="G76" s="12"/>
      <c r="H76" s="11"/>
      <c r="I76" s="12">
        <v>43598</v>
      </c>
      <c r="J76" s="11">
        <v>43590</v>
      </c>
      <c r="K76" s="12">
        <v>43612</v>
      </c>
      <c r="L76" s="11">
        <v>43612</v>
      </c>
      <c r="M76" s="12">
        <v>43589</v>
      </c>
      <c r="N76" s="11">
        <v>43582</v>
      </c>
      <c r="O76" s="12">
        <v>43583</v>
      </c>
      <c r="P76" s="11">
        <v>43573</v>
      </c>
      <c r="Q76" s="12">
        <v>43606</v>
      </c>
      <c r="R76" s="11"/>
      <c r="S76" s="12">
        <v>43585</v>
      </c>
      <c r="T76" s="11">
        <v>43580</v>
      </c>
      <c r="U76" s="12"/>
      <c r="V76" s="11"/>
      <c r="W76" s="12"/>
      <c r="X76" s="11"/>
      <c r="Y76" s="12"/>
      <c r="Z76" s="11">
        <v>43584</v>
      </c>
      <c r="AA76" s="12">
        <v>43599</v>
      </c>
      <c r="AB76" s="11">
        <v>43611</v>
      </c>
      <c r="AC76" s="12">
        <v>43586</v>
      </c>
      <c r="AD76" s="34"/>
      <c r="AE76" s="33">
        <f t="shared" si="16"/>
        <v>43573</v>
      </c>
      <c r="AF76" s="33">
        <f t="shared" si="17"/>
        <v>43587</v>
      </c>
      <c r="AG76" s="33">
        <f t="shared" si="18"/>
        <v>43612</v>
      </c>
      <c r="AH76">
        <v>93</v>
      </c>
      <c r="AK76" s="36" t="str">
        <f t="shared" si="11"/>
        <v/>
      </c>
      <c r="AL76" t="str">
        <f t="shared" si="19"/>
        <v/>
      </c>
      <c r="AM76" t="s">
        <v>393</v>
      </c>
      <c r="AN76">
        <f t="shared" si="12"/>
        <v>39</v>
      </c>
      <c r="AO76" t="str">
        <f t="shared" si="13"/>
        <v>18.4.---2.5.---27.5.</v>
      </c>
      <c r="AP76" t="str">
        <f t="shared" si="14"/>
        <v>Kattohaikara</v>
      </c>
      <c r="AQ76" t="str">
        <f t="shared" si="20"/>
        <v>(18.4.---2.5.---27.5.)</v>
      </c>
    </row>
    <row r="77" spans="1:43" x14ac:dyDescent="0.2">
      <c r="A77" s="1"/>
      <c r="B77" s="9">
        <f t="shared" si="15"/>
        <v>74</v>
      </c>
      <c r="C77" s="10"/>
      <c r="D77" s="15" t="s">
        <v>71</v>
      </c>
      <c r="E77" s="16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1"/>
      <c r="Q77" s="12"/>
      <c r="R77" s="11"/>
      <c r="S77" s="12"/>
      <c r="T77" s="11"/>
      <c r="U77" s="12"/>
      <c r="V77" s="11"/>
      <c r="W77" s="12"/>
      <c r="X77" s="11"/>
      <c r="Y77" s="12"/>
      <c r="Z77" s="11"/>
      <c r="AA77" s="12"/>
      <c r="AB77" s="11"/>
      <c r="AC77" s="12"/>
      <c r="AD77" s="34"/>
      <c r="AE77" s="33" t="str">
        <f t="shared" si="16"/>
        <v/>
      </c>
      <c r="AF77" s="33" t="str">
        <f t="shared" si="17"/>
        <v/>
      </c>
      <c r="AG77" s="33" t="str">
        <f t="shared" si="18"/>
        <v/>
      </c>
      <c r="AH77">
        <v>94</v>
      </c>
      <c r="AK77" s="36" t="str">
        <f t="shared" si="11"/>
        <v/>
      </c>
      <c r="AL77" t="str">
        <f t="shared" si="19"/>
        <v/>
      </c>
      <c r="AM77" t="s">
        <v>393</v>
      </c>
      <c r="AN77" t="e">
        <f t="shared" si="12"/>
        <v>#VALUE!</v>
      </c>
      <c r="AO77" t="str">
        <f t="shared" si="13"/>
        <v>------</v>
      </c>
      <c r="AP77" t="str">
        <f t="shared" si="14"/>
        <v>Pronssi-iibis</v>
      </c>
      <c r="AQ77" t="str">
        <f t="shared" si="20"/>
        <v>(------)</v>
      </c>
    </row>
    <row r="78" spans="1:43" x14ac:dyDescent="0.2">
      <c r="A78" s="1"/>
      <c r="B78" s="9">
        <f t="shared" si="15"/>
        <v>75</v>
      </c>
      <c r="C78" s="10"/>
      <c r="D78" s="15" t="s">
        <v>72</v>
      </c>
      <c r="E78" s="16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12"/>
      <c r="R78" s="11"/>
      <c r="S78" s="12"/>
      <c r="T78" s="11"/>
      <c r="U78" s="12"/>
      <c r="V78" s="11"/>
      <c r="W78" s="12"/>
      <c r="X78" s="11"/>
      <c r="Y78" s="12"/>
      <c r="Z78" s="11"/>
      <c r="AA78" s="12"/>
      <c r="AB78" s="11"/>
      <c r="AC78" s="12"/>
      <c r="AD78" s="34"/>
      <c r="AE78" s="33" t="str">
        <f t="shared" si="16"/>
        <v/>
      </c>
      <c r="AF78" s="33" t="str">
        <f t="shared" si="17"/>
        <v/>
      </c>
      <c r="AG78" s="33" t="str">
        <f t="shared" si="18"/>
        <v/>
      </c>
      <c r="AH78">
        <v>95</v>
      </c>
      <c r="AK78" s="36" t="str">
        <f t="shared" si="11"/>
        <v/>
      </c>
      <c r="AL78" t="str">
        <f t="shared" si="19"/>
        <v/>
      </c>
      <c r="AM78" t="s">
        <v>393</v>
      </c>
      <c r="AN78" t="e">
        <f t="shared" si="12"/>
        <v>#VALUE!</v>
      </c>
      <c r="AO78" t="str">
        <f t="shared" si="13"/>
        <v>------</v>
      </c>
      <c r="AP78" t="str">
        <f t="shared" si="14"/>
        <v>Kapustahaikara</v>
      </c>
      <c r="AQ78" t="str">
        <f t="shared" si="20"/>
        <v>(------)</v>
      </c>
    </row>
    <row r="79" spans="1:43" x14ac:dyDescent="0.2">
      <c r="A79" s="1"/>
      <c r="B79" s="9">
        <f t="shared" si="15"/>
        <v>76</v>
      </c>
      <c r="C79" s="10"/>
      <c r="D79" s="9" t="s">
        <v>73</v>
      </c>
      <c r="E79" s="10"/>
      <c r="F79" s="11">
        <v>43577</v>
      </c>
      <c r="G79" s="12">
        <v>43599</v>
      </c>
      <c r="H79" s="11">
        <v>43611</v>
      </c>
      <c r="I79" s="12">
        <v>43598</v>
      </c>
      <c r="J79" s="11">
        <v>43592</v>
      </c>
      <c r="K79" s="12">
        <v>43602</v>
      </c>
      <c r="L79" s="11">
        <v>43591</v>
      </c>
      <c r="M79" s="12">
        <v>43605</v>
      </c>
      <c r="N79" s="11">
        <v>43585</v>
      </c>
      <c r="O79" s="12">
        <v>43586</v>
      </c>
      <c r="P79" s="11">
        <v>43600</v>
      </c>
      <c r="Q79" s="12">
        <v>43596</v>
      </c>
      <c r="R79" s="11">
        <v>43598</v>
      </c>
      <c r="S79" s="12">
        <v>43591</v>
      </c>
      <c r="T79" s="11">
        <v>43587</v>
      </c>
      <c r="U79" s="12">
        <v>43592</v>
      </c>
      <c r="V79" s="11">
        <v>43599</v>
      </c>
      <c r="W79" s="12">
        <v>43603</v>
      </c>
      <c r="X79" s="11">
        <v>43592</v>
      </c>
      <c r="Y79" s="12">
        <v>43601</v>
      </c>
      <c r="Z79" s="11">
        <v>43604</v>
      </c>
      <c r="AA79" s="12">
        <v>43601</v>
      </c>
      <c r="AB79" s="11">
        <v>43601</v>
      </c>
      <c r="AC79" s="12">
        <v>43590</v>
      </c>
      <c r="AD79" s="34"/>
      <c r="AE79" s="33">
        <f t="shared" si="16"/>
        <v>43577</v>
      </c>
      <c r="AF79" s="33">
        <f t="shared" si="17"/>
        <v>43598</v>
      </c>
      <c r="AG79" s="33">
        <f t="shared" si="18"/>
        <v>43611</v>
      </c>
      <c r="AH79">
        <v>96</v>
      </c>
      <c r="AK79" s="36" t="str">
        <f t="shared" si="11"/>
        <v/>
      </c>
      <c r="AL79" t="str">
        <f t="shared" si="19"/>
        <v/>
      </c>
      <c r="AM79" t="s">
        <v>393</v>
      </c>
      <c r="AN79">
        <f t="shared" si="12"/>
        <v>34</v>
      </c>
      <c r="AO79" t="str">
        <f t="shared" si="13"/>
        <v>22.4.---13.5.---26.5.</v>
      </c>
      <c r="AP79" t="str">
        <f t="shared" si="14"/>
        <v>Mehiläishaukka</v>
      </c>
      <c r="AQ79" t="str">
        <f t="shared" si="20"/>
        <v>(22.4.---13.5.---26.5.)</v>
      </c>
    </row>
    <row r="80" spans="1:43" x14ac:dyDescent="0.2">
      <c r="A80" s="1"/>
      <c r="B80" s="9">
        <f t="shared" si="15"/>
        <v>77</v>
      </c>
      <c r="C80" s="10"/>
      <c r="D80" s="9" t="s">
        <v>74</v>
      </c>
      <c r="E80" s="10"/>
      <c r="F80" s="11"/>
      <c r="G80" s="12"/>
      <c r="H80" s="11"/>
      <c r="I80" s="12">
        <v>43575</v>
      </c>
      <c r="J80" s="11">
        <v>43576</v>
      </c>
      <c r="K80" s="12">
        <v>43590</v>
      </c>
      <c r="L80" s="11">
        <v>43570</v>
      </c>
      <c r="M80" s="12">
        <v>43590</v>
      </c>
      <c r="N80" s="11">
        <v>43577</v>
      </c>
      <c r="O80" s="12">
        <v>43564</v>
      </c>
      <c r="P80" s="11">
        <v>43570</v>
      </c>
      <c r="Q80" s="12">
        <v>43576</v>
      </c>
      <c r="R80" s="11">
        <v>43574</v>
      </c>
      <c r="S80" s="12">
        <v>43577</v>
      </c>
      <c r="T80" s="11">
        <v>43571</v>
      </c>
      <c r="U80" s="12">
        <v>43574</v>
      </c>
      <c r="V80" s="11">
        <v>43571</v>
      </c>
      <c r="W80" s="12">
        <v>43573</v>
      </c>
      <c r="X80" s="11">
        <v>43580</v>
      </c>
      <c r="Y80" s="12">
        <v>43575</v>
      </c>
      <c r="Z80" s="11">
        <v>43570</v>
      </c>
      <c r="AA80" s="12">
        <v>43551</v>
      </c>
      <c r="AB80" s="11">
        <v>43576</v>
      </c>
      <c r="AC80" s="12">
        <v>43578</v>
      </c>
      <c r="AD80" s="34"/>
      <c r="AE80" s="33">
        <f t="shared" si="16"/>
        <v>43564</v>
      </c>
      <c r="AF80" s="33">
        <f t="shared" si="17"/>
        <v>43574.5</v>
      </c>
      <c r="AG80" s="33">
        <f t="shared" si="18"/>
        <v>43590</v>
      </c>
      <c r="AH80">
        <v>97</v>
      </c>
      <c r="AK80" s="36" t="str">
        <f t="shared" si="11"/>
        <v/>
      </c>
      <c r="AL80" t="str">
        <f t="shared" si="19"/>
        <v/>
      </c>
      <c r="AM80" t="s">
        <v>393</v>
      </c>
      <c r="AN80">
        <f t="shared" si="12"/>
        <v>26</v>
      </c>
      <c r="AO80" t="str">
        <f t="shared" si="13"/>
        <v>9.4.---19.4.---5.5.</v>
      </c>
      <c r="AP80" t="str">
        <f t="shared" si="14"/>
        <v>Haarahaukka</v>
      </c>
      <c r="AQ80" t="str">
        <f t="shared" si="20"/>
        <v>(9.4.---19.4.---5.5.)</v>
      </c>
    </row>
    <row r="81" spans="1:43" x14ac:dyDescent="0.2">
      <c r="A81" s="1"/>
      <c r="B81" s="9">
        <f t="shared" si="15"/>
        <v>78</v>
      </c>
      <c r="C81" s="10"/>
      <c r="D81" s="15" t="s">
        <v>75</v>
      </c>
      <c r="E81" s="16"/>
      <c r="F81" s="11"/>
      <c r="G81" s="12"/>
      <c r="H81" s="11"/>
      <c r="I81" s="12"/>
      <c r="J81" s="11">
        <v>43590</v>
      </c>
      <c r="K81" s="12"/>
      <c r="L81" s="11"/>
      <c r="M81" s="12"/>
      <c r="N81" s="11"/>
      <c r="O81" s="12"/>
      <c r="P81" s="11"/>
      <c r="Q81" s="12">
        <v>43583</v>
      </c>
      <c r="R81" s="11"/>
      <c r="S81" s="12"/>
      <c r="T81" s="11"/>
      <c r="U81" s="12"/>
      <c r="V81" s="11"/>
      <c r="W81" s="12"/>
      <c r="X81" s="11"/>
      <c r="Y81" s="12"/>
      <c r="Z81" s="11"/>
      <c r="AA81" s="12"/>
      <c r="AB81" s="11">
        <v>43580</v>
      </c>
      <c r="AC81" s="12">
        <v>43609</v>
      </c>
      <c r="AD81" s="34"/>
      <c r="AE81" s="33">
        <f t="shared" si="16"/>
        <v>43583</v>
      </c>
      <c r="AF81" s="33">
        <f t="shared" si="17"/>
        <v>43586.5</v>
      </c>
      <c r="AG81" s="33">
        <f t="shared" si="18"/>
        <v>43590</v>
      </c>
      <c r="AH81">
        <v>98</v>
      </c>
      <c r="AK81" s="36" t="str">
        <f t="shared" si="11"/>
        <v/>
      </c>
      <c r="AL81" t="str">
        <f t="shared" si="19"/>
        <v/>
      </c>
      <c r="AM81" t="s">
        <v>393</v>
      </c>
      <c r="AN81">
        <f t="shared" si="12"/>
        <v>7</v>
      </c>
      <c r="AO81" t="str">
        <f t="shared" si="13"/>
        <v>28.4.---1.5.---5.5.</v>
      </c>
      <c r="AP81" t="str">
        <f t="shared" si="14"/>
        <v>Isohaarahaukka</v>
      </c>
      <c r="AQ81" t="str">
        <f t="shared" si="20"/>
        <v>(28.4.---1.5.---5.5.)</v>
      </c>
    </row>
    <row r="82" spans="1:43" x14ac:dyDescent="0.2">
      <c r="A82" s="1"/>
      <c r="B82" s="9">
        <f t="shared" si="15"/>
        <v>79</v>
      </c>
      <c r="C82" s="10"/>
      <c r="D82" s="9" t="s">
        <v>76</v>
      </c>
      <c r="E82" s="10"/>
      <c r="F82" s="11">
        <v>43518</v>
      </c>
      <c r="G82" s="12">
        <v>43468</v>
      </c>
      <c r="H82" s="11">
        <v>43466</v>
      </c>
      <c r="I82" s="12">
        <v>43516</v>
      </c>
      <c r="J82" s="11">
        <v>43472</v>
      </c>
      <c r="K82" s="12">
        <v>43466</v>
      </c>
      <c r="L82" s="11">
        <v>43466</v>
      </c>
      <c r="M82" s="12">
        <v>43466</v>
      </c>
      <c r="N82" s="11">
        <v>43466</v>
      </c>
      <c r="O82" s="12">
        <v>43466</v>
      </c>
      <c r="P82" s="11">
        <v>43468</v>
      </c>
      <c r="Q82" s="12">
        <v>43468</v>
      </c>
      <c r="R82" s="11">
        <v>43466</v>
      </c>
      <c r="S82" s="12">
        <v>43466</v>
      </c>
      <c r="T82" s="11">
        <v>43466</v>
      </c>
      <c r="U82" s="12">
        <v>43466</v>
      </c>
      <c r="V82" s="11">
        <v>43466</v>
      </c>
      <c r="W82" s="12">
        <v>43466</v>
      </c>
      <c r="X82" s="11">
        <v>43466</v>
      </c>
      <c r="Y82" s="12">
        <v>43466</v>
      </c>
      <c r="Z82" s="11">
        <v>43466</v>
      </c>
      <c r="AA82" s="12">
        <v>43466</v>
      </c>
      <c r="AB82" s="11">
        <v>43466</v>
      </c>
      <c r="AC82" s="12">
        <v>43466</v>
      </c>
      <c r="AD82" s="34"/>
      <c r="AE82" s="33">
        <f t="shared" si="16"/>
        <v>43466</v>
      </c>
      <c r="AF82" s="33">
        <f t="shared" si="17"/>
        <v>43466</v>
      </c>
      <c r="AG82" s="33">
        <f t="shared" si="18"/>
        <v>43518</v>
      </c>
      <c r="AH82">
        <v>100</v>
      </c>
      <c r="AK82" s="36" t="str">
        <f t="shared" si="11"/>
        <v/>
      </c>
      <c r="AL82">
        <f t="shared" si="19"/>
        <v>21</v>
      </c>
      <c r="AM82">
        <v>21</v>
      </c>
      <c r="AN82">
        <f t="shared" si="12"/>
        <v>52</v>
      </c>
      <c r="AO82" t="str">
        <f t="shared" si="13"/>
        <v>1.1.---1.1.---22.2.</v>
      </c>
      <c r="AP82" t="str">
        <f t="shared" si="14"/>
        <v>Merikotka</v>
      </c>
      <c r="AQ82" t="str">
        <f t="shared" si="20"/>
        <v>(1.1.---1.1.---22.2., 21/21)</v>
      </c>
    </row>
    <row r="83" spans="1:43" x14ac:dyDescent="0.2">
      <c r="A83" s="1"/>
      <c r="B83" s="9">
        <f t="shared" si="15"/>
        <v>80</v>
      </c>
      <c r="D83" s="17" t="s">
        <v>77</v>
      </c>
      <c r="E83" s="10"/>
      <c r="F83" s="11"/>
      <c r="G83" s="12"/>
      <c r="H83" s="11"/>
      <c r="I83" s="12"/>
      <c r="J83" s="11"/>
      <c r="K83" s="12"/>
      <c r="L83" s="11"/>
      <c r="M83" s="12"/>
      <c r="N83" s="11"/>
      <c r="O83" s="12"/>
      <c r="P83" s="11"/>
      <c r="Q83" s="12"/>
      <c r="R83" s="11"/>
      <c r="S83" s="12"/>
      <c r="T83" s="11"/>
      <c r="U83" s="12"/>
      <c r="V83" s="11"/>
      <c r="W83" s="12"/>
      <c r="X83" s="11">
        <v>43726</v>
      </c>
      <c r="Y83" s="12"/>
      <c r="Z83" s="11"/>
      <c r="AA83" s="12"/>
      <c r="AB83" s="11"/>
      <c r="AC83" s="12"/>
      <c r="AD83" s="34"/>
      <c r="AE83" s="33">
        <f t="shared" si="16"/>
        <v>43726</v>
      </c>
      <c r="AF83" s="33">
        <f t="shared" si="17"/>
        <v>43726</v>
      </c>
      <c r="AG83" s="33">
        <f t="shared" si="18"/>
        <v>43726</v>
      </c>
      <c r="AH83">
        <v>103</v>
      </c>
      <c r="AK83" s="36" t="str">
        <f t="shared" si="11"/>
        <v/>
      </c>
      <c r="AL83" t="str">
        <f t="shared" si="19"/>
        <v/>
      </c>
      <c r="AM83" t="s">
        <v>393</v>
      </c>
      <c r="AN83">
        <f t="shared" si="12"/>
        <v>0</v>
      </c>
      <c r="AO83" t="str">
        <f t="shared" si="13"/>
        <v>18.9.---18.9.---18.9.</v>
      </c>
      <c r="AP83" t="str">
        <f t="shared" si="14"/>
        <v>Munkkikorppikotka</v>
      </c>
      <c r="AQ83" t="str">
        <f t="shared" si="20"/>
        <v>(18.9.---18.9.---18.9.)</v>
      </c>
    </row>
    <row r="84" spans="1:43" x14ac:dyDescent="0.2">
      <c r="A84" s="1"/>
      <c r="B84" s="9">
        <f t="shared" si="15"/>
        <v>81</v>
      </c>
      <c r="C84" s="10"/>
      <c r="D84" s="15" t="s">
        <v>78</v>
      </c>
      <c r="E84" s="16"/>
      <c r="F84" s="11"/>
      <c r="G84" s="12"/>
      <c r="H84" s="11"/>
      <c r="I84" s="12"/>
      <c r="J84" s="11"/>
      <c r="K84" s="12"/>
      <c r="L84" s="11"/>
      <c r="M84" s="12"/>
      <c r="N84" s="11"/>
      <c r="O84" s="12"/>
      <c r="P84" s="11"/>
      <c r="Q84" s="12">
        <v>43625</v>
      </c>
      <c r="R84" s="11"/>
      <c r="S84" s="12"/>
      <c r="T84" s="11"/>
      <c r="U84" s="12"/>
      <c r="V84" s="11">
        <v>43638</v>
      </c>
      <c r="W84" s="12"/>
      <c r="X84" s="11"/>
      <c r="Y84" s="12"/>
      <c r="Z84" s="11"/>
      <c r="AA84" s="12"/>
      <c r="AB84" s="11"/>
      <c r="AC84" s="12"/>
      <c r="AD84" s="34"/>
      <c r="AE84" s="33">
        <f t="shared" si="16"/>
        <v>43625</v>
      </c>
      <c r="AF84" s="33">
        <f t="shared" si="17"/>
        <v>43631.5</v>
      </c>
      <c r="AG84" s="33">
        <f t="shared" si="18"/>
        <v>43638</v>
      </c>
      <c r="AH84">
        <v>104</v>
      </c>
      <c r="AK84" s="36" t="str">
        <f t="shared" si="11"/>
        <v/>
      </c>
      <c r="AL84" t="str">
        <f t="shared" si="19"/>
        <v/>
      </c>
      <c r="AM84" t="s">
        <v>393</v>
      </c>
      <c r="AN84">
        <f t="shared" si="12"/>
        <v>13</v>
      </c>
      <c r="AO84" t="str">
        <f t="shared" si="13"/>
        <v>9.6.---15.6.---22.6.</v>
      </c>
      <c r="AP84" t="str">
        <f t="shared" si="14"/>
        <v>Käärmekotka</v>
      </c>
      <c r="AQ84" t="str">
        <f t="shared" si="20"/>
        <v>(9.6.---15.6.---22.6.)</v>
      </c>
    </row>
    <row r="85" spans="1:43" x14ac:dyDescent="0.2">
      <c r="A85" s="1"/>
      <c r="B85" s="9">
        <f t="shared" si="15"/>
        <v>82</v>
      </c>
      <c r="C85" s="10"/>
      <c r="D85" s="9" t="s">
        <v>79</v>
      </c>
      <c r="E85" s="10"/>
      <c r="F85" s="11">
        <v>43567</v>
      </c>
      <c r="G85" s="12">
        <v>43565</v>
      </c>
      <c r="H85" s="11">
        <v>43567</v>
      </c>
      <c r="I85" s="12">
        <v>43565</v>
      </c>
      <c r="J85" s="11">
        <v>43564</v>
      </c>
      <c r="K85" s="12">
        <v>43565</v>
      </c>
      <c r="L85" s="11">
        <v>43564</v>
      </c>
      <c r="M85" s="12">
        <v>43568</v>
      </c>
      <c r="N85" s="11">
        <v>43556</v>
      </c>
      <c r="O85" s="12">
        <v>43563</v>
      </c>
      <c r="P85" s="11">
        <v>43566</v>
      </c>
      <c r="Q85" s="12">
        <v>43564</v>
      </c>
      <c r="R85" s="11">
        <v>43567</v>
      </c>
      <c r="S85" s="12">
        <v>43567</v>
      </c>
      <c r="T85" s="11">
        <v>43566</v>
      </c>
      <c r="U85" s="12">
        <v>43565</v>
      </c>
      <c r="V85" s="11">
        <v>43557</v>
      </c>
      <c r="W85" s="12">
        <v>43560</v>
      </c>
      <c r="X85" s="11">
        <v>43568</v>
      </c>
      <c r="Y85" s="12">
        <v>43561</v>
      </c>
      <c r="Z85" s="11">
        <v>43561</v>
      </c>
      <c r="AA85" s="12">
        <v>43561</v>
      </c>
      <c r="AB85" s="11">
        <v>43567</v>
      </c>
      <c r="AC85" s="12">
        <v>43566</v>
      </c>
      <c r="AD85" s="34"/>
      <c r="AE85" s="33">
        <f t="shared" si="16"/>
        <v>43556</v>
      </c>
      <c r="AF85" s="33">
        <f t="shared" si="17"/>
        <v>43565</v>
      </c>
      <c r="AG85" s="33">
        <f t="shared" si="18"/>
        <v>43568</v>
      </c>
      <c r="AH85">
        <v>105</v>
      </c>
      <c r="AK85" s="36" t="str">
        <f t="shared" si="11"/>
        <v/>
      </c>
      <c r="AL85" t="str">
        <f t="shared" si="19"/>
        <v/>
      </c>
      <c r="AM85" t="s">
        <v>393</v>
      </c>
      <c r="AN85">
        <f t="shared" si="12"/>
        <v>12</v>
      </c>
      <c r="AO85" t="str">
        <f t="shared" si="13"/>
        <v>1.4.---10.4.---13.4.</v>
      </c>
      <c r="AP85" t="str">
        <f t="shared" si="14"/>
        <v>Ruskosuohaukka</v>
      </c>
      <c r="AQ85" t="str">
        <f t="shared" si="20"/>
        <v>(1.4.---10.4.---13.4.)</v>
      </c>
    </row>
    <row r="86" spans="1:43" x14ac:dyDescent="0.2">
      <c r="A86" s="1"/>
      <c r="B86" s="9">
        <f t="shared" si="15"/>
        <v>83</v>
      </c>
      <c r="C86" s="10"/>
      <c r="D86" s="9" t="s">
        <v>80</v>
      </c>
      <c r="E86" s="10"/>
      <c r="F86" s="11">
        <v>43564</v>
      </c>
      <c r="G86" s="12">
        <v>43561</v>
      </c>
      <c r="H86" s="11">
        <v>43553</v>
      </c>
      <c r="I86" s="12">
        <v>43551</v>
      </c>
      <c r="J86" s="11">
        <v>43558</v>
      </c>
      <c r="K86" s="12">
        <v>43557</v>
      </c>
      <c r="L86" s="11">
        <v>43560</v>
      </c>
      <c r="M86" s="12">
        <v>43554</v>
      </c>
      <c r="N86" s="11">
        <v>43553</v>
      </c>
      <c r="O86" s="12">
        <v>43563</v>
      </c>
      <c r="P86" s="11">
        <v>43565</v>
      </c>
      <c r="Q86" s="12">
        <v>43560</v>
      </c>
      <c r="R86" s="11">
        <v>43552</v>
      </c>
      <c r="S86" s="12">
        <v>43570</v>
      </c>
      <c r="T86" s="11">
        <f>IF(AG1,DATE(2019,1,7),DATE(2019,3,23))</f>
        <v>43547</v>
      </c>
      <c r="U86" s="12">
        <v>43556</v>
      </c>
      <c r="V86" s="11">
        <v>43552</v>
      </c>
      <c r="W86" s="12">
        <v>43549</v>
      </c>
      <c r="X86" s="11">
        <v>43566</v>
      </c>
      <c r="Y86" s="12">
        <v>43558</v>
      </c>
      <c r="Z86" s="11">
        <v>43545</v>
      </c>
      <c r="AA86" s="12">
        <v>43554</v>
      </c>
      <c r="AB86" s="11">
        <v>43534</v>
      </c>
      <c r="AC86" s="12">
        <v>43562</v>
      </c>
      <c r="AD86" s="34"/>
      <c r="AE86" s="33">
        <f t="shared" si="16"/>
        <v>43545</v>
      </c>
      <c r="AF86" s="33">
        <f t="shared" si="17"/>
        <v>43557</v>
      </c>
      <c r="AG86" s="33">
        <f t="shared" si="18"/>
        <v>43570</v>
      </c>
      <c r="AH86">
        <v>106</v>
      </c>
      <c r="AK86" s="36" t="str">
        <f t="shared" si="11"/>
        <v/>
      </c>
      <c r="AL86" t="str">
        <f t="shared" si="19"/>
        <v/>
      </c>
      <c r="AM86">
        <v>1</v>
      </c>
      <c r="AN86">
        <f t="shared" si="12"/>
        <v>25</v>
      </c>
      <c r="AO86" t="str">
        <f t="shared" si="13"/>
        <v>21.3.---2.4.---15.4.</v>
      </c>
      <c r="AP86" t="str">
        <f t="shared" si="14"/>
        <v>Sinisuohaukka</v>
      </c>
      <c r="AQ86" t="str">
        <f t="shared" si="20"/>
        <v>(21.3.---2.4.---15.4., 1/21)</v>
      </c>
    </row>
    <row r="87" spans="1:43" x14ac:dyDescent="0.2">
      <c r="A87" s="1"/>
      <c r="B87" s="9">
        <f t="shared" si="15"/>
        <v>84</v>
      </c>
      <c r="C87" s="10"/>
      <c r="D87" s="13" t="s">
        <v>81</v>
      </c>
      <c r="E87" s="14"/>
      <c r="F87" s="11"/>
      <c r="G87" s="12"/>
      <c r="H87" s="11"/>
      <c r="I87" s="12">
        <v>43589</v>
      </c>
      <c r="J87" s="11">
        <v>43579</v>
      </c>
      <c r="K87" s="12">
        <v>43576</v>
      </c>
      <c r="L87" s="11">
        <v>43584</v>
      </c>
      <c r="M87" s="12">
        <v>43568</v>
      </c>
      <c r="N87" s="11">
        <v>43573</v>
      </c>
      <c r="O87" s="12">
        <v>43571</v>
      </c>
      <c r="P87" s="11">
        <v>43571</v>
      </c>
      <c r="Q87" s="12">
        <v>43572</v>
      </c>
      <c r="R87" s="11">
        <v>43567</v>
      </c>
      <c r="S87" s="12">
        <v>43574</v>
      </c>
      <c r="T87" s="11">
        <v>43568</v>
      </c>
      <c r="U87" s="12">
        <v>43565</v>
      </c>
      <c r="V87" s="11">
        <v>43562</v>
      </c>
      <c r="W87" s="12">
        <v>43574</v>
      </c>
      <c r="X87" s="11">
        <v>43574</v>
      </c>
      <c r="Y87" s="12">
        <v>43562</v>
      </c>
      <c r="Z87" s="11">
        <v>43563</v>
      </c>
      <c r="AA87" s="12">
        <v>43563</v>
      </c>
      <c r="AB87" s="11">
        <v>43571</v>
      </c>
      <c r="AC87" s="12">
        <v>43566</v>
      </c>
      <c r="AD87" s="34"/>
      <c r="AE87" s="33">
        <f t="shared" si="16"/>
        <v>43562</v>
      </c>
      <c r="AF87" s="33">
        <f t="shared" si="17"/>
        <v>43571.5</v>
      </c>
      <c r="AG87" s="33">
        <f t="shared" si="18"/>
        <v>43589</v>
      </c>
      <c r="AH87">
        <v>107</v>
      </c>
      <c r="AK87" s="36" t="str">
        <f t="shared" si="11"/>
        <v/>
      </c>
      <c r="AL87" t="str">
        <f t="shared" si="19"/>
        <v/>
      </c>
      <c r="AM87" t="s">
        <v>393</v>
      </c>
      <c r="AN87">
        <f t="shared" si="12"/>
        <v>27</v>
      </c>
      <c r="AO87" t="str">
        <f t="shared" si="13"/>
        <v>7.4.---16.4.---4.5.</v>
      </c>
      <c r="AP87" t="str">
        <f t="shared" si="14"/>
        <v>Arosuohaukka</v>
      </c>
      <c r="AQ87" t="str">
        <f t="shared" si="20"/>
        <v>(7.4.---16.4.---4.5.)</v>
      </c>
    </row>
    <row r="88" spans="1:43" x14ac:dyDescent="0.2">
      <c r="A88" s="1"/>
      <c r="B88" s="9">
        <f t="shared" si="15"/>
        <v>85</v>
      </c>
      <c r="C88" s="10"/>
      <c r="D88" s="13" t="s">
        <v>82</v>
      </c>
      <c r="E88" s="14"/>
      <c r="F88" s="11"/>
      <c r="G88" s="12"/>
      <c r="H88" s="11"/>
      <c r="I88" s="12">
        <v>43599</v>
      </c>
      <c r="J88" s="11">
        <v>43588</v>
      </c>
      <c r="K88" s="12">
        <v>43595</v>
      </c>
      <c r="L88" s="11">
        <v>43595</v>
      </c>
      <c r="M88" s="12">
        <v>43590</v>
      </c>
      <c r="N88" s="11">
        <v>43599</v>
      </c>
      <c r="O88" s="12">
        <v>43587</v>
      </c>
      <c r="P88" s="11">
        <v>43587</v>
      </c>
      <c r="Q88" s="12">
        <v>43599</v>
      </c>
      <c r="R88" s="11">
        <v>43578</v>
      </c>
      <c r="S88" s="12">
        <v>43587</v>
      </c>
      <c r="T88" s="11">
        <v>43584</v>
      </c>
      <c r="U88" s="12">
        <v>43576</v>
      </c>
      <c r="V88" s="11">
        <v>43604</v>
      </c>
      <c r="W88" s="12">
        <v>43606</v>
      </c>
      <c r="X88" s="11">
        <v>43591</v>
      </c>
      <c r="Y88" s="12">
        <v>43589</v>
      </c>
      <c r="Z88" s="11">
        <v>43584</v>
      </c>
      <c r="AA88" s="12">
        <v>43630</v>
      </c>
      <c r="AB88" s="11">
        <v>43597</v>
      </c>
      <c r="AC88" s="12">
        <v>43600</v>
      </c>
      <c r="AD88" s="34"/>
      <c r="AE88" s="33">
        <f t="shared" si="16"/>
        <v>43576</v>
      </c>
      <c r="AF88" s="33">
        <f t="shared" si="17"/>
        <v>43589.5</v>
      </c>
      <c r="AG88" s="33">
        <f t="shared" si="18"/>
        <v>43606</v>
      </c>
      <c r="AH88">
        <v>108</v>
      </c>
      <c r="AK88" s="36" t="str">
        <f t="shared" si="11"/>
        <v/>
      </c>
      <c r="AL88" t="str">
        <f t="shared" si="19"/>
        <v/>
      </c>
      <c r="AM88" t="s">
        <v>393</v>
      </c>
      <c r="AN88">
        <f t="shared" si="12"/>
        <v>30</v>
      </c>
      <c r="AO88" t="str">
        <f t="shared" si="13"/>
        <v>21.4.---4.5.---21.5.</v>
      </c>
      <c r="AP88" t="str">
        <f t="shared" si="14"/>
        <v>Niittysuohaukka</v>
      </c>
      <c r="AQ88" t="str">
        <f t="shared" si="20"/>
        <v>(21.4.---4.5.---21.5.)</v>
      </c>
    </row>
    <row r="89" spans="1:43" x14ac:dyDescent="0.2">
      <c r="A89" s="1"/>
      <c r="B89" s="9">
        <f t="shared" si="15"/>
        <v>86</v>
      </c>
      <c r="C89" s="10"/>
      <c r="D89" s="9" t="s">
        <v>83</v>
      </c>
      <c r="E89" s="10"/>
      <c r="F89" s="11"/>
      <c r="G89" s="12"/>
      <c r="H89" s="11">
        <v>43466</v>
      </c>
      <c r="I89" s="12">
        <v>43466</v>
      </c>
      <c r="J89" s="11">
        <v>43466</v>
      </c>
      <c r="K89" s="12">
        <v>43466</v>
      </c>
      <c r="L89" s="11">
        <v>43466</v>
      </c>
      <c r="M89" s="12">
        <v>43466</v>
      </c>
      <c r="N89" s="11">
        <v>43466</v>
      </c>
      <c r="O89" s="12">
        <v>43466</v>
      </c>
      <c r="P89" s="11">
        <v>43466</v>
      </c>
      <c r="Q89" s="12">
        <v>43466</v>
      </c>
      <c r="R89" s="11">
        <v>43466</v>
      </c>
      <c r="S89" s="12">
        <v>43467</v>
      </c>
      <c r="T89" s="11">
        <v>43466</v>
      </c>
      <c r="U89" s="12">
        <v>43466</v>
      </c>
      <c r="V89" s="11">
        <v>43466</v>
      </c>
      <c r="W89" s="12">
        <v>43466</v>
      </c>
      <c r="X89" s="11">
        <v>43466</v>
      </c>
      <c r="Y89" s="12">
        <v>43466</v>
      </c>
      <c r="Z89" s="11">
        <v>43466</v>
      </c>
      <c r="AA89" s="12">
        <v>43466</v>
      </c>
      <c r="AB89" s="11">
        <v>43466</v>
      </c>
      <c r="AC89" s="12">
        <v>43466</v>
      </c>
      <c r="AD89" s="34"/>
      <c r="AE89" s="33">
        <f t="shared" si="16"/>
        <v>43466</v>
      </c>
      <c r="AF89" s="33">
        <f t="shared" si="17"/>
        <v>43466</v>
      </c>
      <c r="AG89" s="33">
        <f t="shared" si="18"/>
        <v>43467</v>
      </c>
      <c r="AH89">
        <v>109</v>
      </c>
      <c r="AK89" s="36" t="str">
        <f t="shared" si="11"/>
        <v/>
      </c>
      <c r="AL89">
        <f t="shared" si="19"/>
        <v>19</v>
      </c>
      <c r="AM89">
        <v>19</v>
      </c>
      <c r="AN89">
        <f t="shared" si="12"/>
        <v>1</v>
      </c>
      <c r="AO89" t="str">
        <f t="shared" si="13"/>
        <v>1.1.---1.1.---2.1.</v>
      </c>
      <c r="AP89" t="str">
        <f t="shared" si="14"/>
        <v>Kanahaukka</v>
      </c>
      <c r="AQ89" t="str">
        <f t="shared" si="20"/>
        <v>(1.1.---1.1.---2.1., 19/21)</v>
      </c>
    </row>
    <row r="90" spans="1:43" x14ac:dyDescent="0.2">
      <c r="A90" s="1"/>
      <c r="B90" s="9">
        <f t="shared" si="15"/>
        <v>87</v>
      </c>
      <c r="C90" s="10"/>
      <c r="D90" s="9" t="s">
        <v>84</v>
      </c>
      <c r="E90" s="10"/>
      <c r="F90" s="11"/>
      <c r="G90" s="12"/>
      <c r="H90" s="11"/>
      <c r="I90" s="12">
        <v>43466</v>
      </c>
      <c r="J90" s="11">
        <v>43466</v>
      </c>
      <c r="K90" s="12">
        <v>43466</v>
      </c>
      <c r="L90" s="11">
        <v>43466</v>
      </c>
      <c r="M90" s="12">
        <v>43466</v>
      </c>
      <c r="N90" s="11">
        <v>43466</v>
      </c>
      <c r="O90" s="12">
        <v>43466</v>
      </c>
      <c r="P90" s="11">
        <v>43466</v>
      </c>
      <c r="Q90" s="12">
        <v>43466</v>
      </c>
      <c r="R90" s="11">
        <v>43467</v>
      </c>
      <c r="S90" s="12">
        <v>43466</v>
      </c>
      <c r="T90" s="11">
        <v>43466</v>
      </c>
      <c r="U90" s="12">
        <v>43466</v>
      </c>
      <c r="V90" s="11">
        <v>43466</v>
      </c>
      <c r="W90" s="12">
        <v>43466</v>
      </c>
      <c r="X90" s="11">
        <v>43466</v>
      </c>
      <c r="Y90" s="12">
        <v>43466</v>
      </c>
      <c r="Z90" s="11">
        <v>43466</v>
      </c>
      <c r="AA90" s="12">
        <v>43466</v>
      </c>
      <c r="AB90" s="11">
        <v>43466</v>
      </c>
      <c r="AC90" s="12">
        <v>43466</v>
      </c>
      <c r="AD90" s="34"/>
      <c r="AE90" s="33">
        <f t="shared" si="16"/>
        <v>43466</v>
      </c>
      <c r="AF90" s="33">
        <f t="shared" si="17"/>
        <v>43466</v>
      </c>
      <c r="AG90" s="33">
        <f t="shared" si="18"/>
        <v>43467</v>
      </c>
      <c r="AH90">
        <v>110</v>
      </c>
      <c r="AK90" s="36" t="str">
        <f t="shared" si="11"/>
        <v/>
      </c>
      <c r="AL90">
        <f t="shared" si="19"/>
        <v>18</v>
      </c>
      <c r="AM90">
        <v>18</v>
      </c>
      <c r="AN90">
        <f t="shared" si="12"/>
        <v>1</v>
      </c>
      <c r="AO90" t="str">
        <f t="shared" si="13"/>
        <v>1.1.---1.1.---2.1.</v>
      </c>
      <c r="AP90" t="str">
        <f t="shared" si="14"/>
        <v>Varpushaukka</v>
      </c>
      <c r="AQ90" t="str">
        <f t="shared" si="20"/>
        <v>(1.1.---1.1.---2.1., 18/21)</v>
      </c>
    </row>
    <row r="91" spans="1:43" x14ac:dyDescent="0.2">
      <c r="A91" s="1"/>
      <c r="B91" s="9">
        <f t="shared" si="15"/>
        <v>88</v>
      </c>
      <c r="C91" s="10"/>
      <c r="D91" s="9" t="s">
        <v>85</v>
      </c>
      <c r="E91" s="10"/>
      <c r="F91" s="11">
        <v>43563</v>
      </c>
      <c r="G91" s="12">
        <v>43562</v>
      </c>
      <c r="H91" s="11">
        <v>43555</v>
      </c>
      <c r="I91" s="12">
        <v>43553</v>
      </c>
      <c r="J91" s="11">
        <v>43554</v>
      </c>
      <c r="K91" s="12">
        <v>43558</v>
      </c>
      <c r="L91" s="11">
        <v>43562</v>
      </c>
      <c r="M91" s="12">
        <v>43548</v>
      </c>
      <c r="N91" s="11">
        <v>43555</v>
      </c>
      <c r="O91" s="12">
        <v>43529</v>
      </c>
      <c r="P91" s="11">
        <f>IF(AG1,DATE(2019,1,4),DATE(2019,3,31))</f>
        <v>43555</v>
      </c>
      <c r="Q91" s="12">
        <v>43558</v>
      </c>
      <c r="R91" s="11">
        <v>43552</v>
      </c>
      <c r="S91" s="12">
        <v>43551</v>
      </c>
      <c r="T91" s="11">
        <v>43530</v>
      </c>
      <c r="U91" s="12">
        <f>IF(AG1,DATE(2019,1,1),DATE(2019,3,14))</f>
        <v>43538</v>
      </c>
      <c r="V91" s="11">
        <f>IF(AG1,DATE(2019,2,6),DATE(2019,3,27))</f>
        <v>43551</v>
      </c>
      <c r="W91" s="12">
        <v>43544</v>
      </c>
      <c r="X91" s="11">
        <v>43563</v>
      </c>
      <c r="Y91" s="12">
        <v>43552</v>
      </c>
      <c r="Z91" s="11">
        <v>43542</v>
      </c>
      <c r="AA91" s="12">
        <v>43548</v>
      </c>
      <c r="AB91" s="11">
        <v>43543</v>
      </c>
      <c r="AC91" s="12">
        <v>43534</v>
      </c>
      <c r="AD91" s="34"/>
      <c r="AE91" s="33">
        <f t="shared" si="16"/>
        <v>43529</v>
      </c>
      <c r="AF91" s="33">
        <f t="shared" si="17"/>
        <v>43553</v>
      </c>
      <c r="AG91" s="33">
        <f t="shared" si="18"/>
        <v>43563</v>
      </c>
      <c r="AH91">
        <v>111</v>
      </c>
      <c r="AK91" s="36" t="str">
        <f t="shared" si="11"/>
        <v/>
      </c>
      <c r="AL91" t="str">
        <f t="shared" si="19"/>
        <v/>
      </c>
      <c r="AM91">
        <v>3</v>
      </c>
      <c r="AN91">
        <f t="shared" si="12"/>
        <v>34</v>
      </c>
      <c r="AO91" t="str">
        <f t="shared" si="13"/>
        <v>5.3.---29.3.---8.4.</v>
      </c>
      <c r="AP91" t="str">
        <f t="shared" si="14"/>
        <v>Hiirihaukka</v>
      </c>
      <c r="AQ91" t="str">
        <f t="shared" si="20"/>
        <v>(5.3.---29.3.---8.4., 3/21)</v>
      </c>
    </row>
    <row r="92" spans="1:43" x14ac:dyDescent="0.2">
      <c r="A92" s="1"/>
      <c r="B92" s="9">
        <f t="shared" si="15"/>
        <v>89</v>
      </c>
      <c r="C92" s="10"/>
      <c r="D92" s="9" t="s">
        <v>86</v>
      </c>
      <c r="E92" s="10"/>
      <c r="F92" s="11">
        <v>43562</v>
      </c>
      <c r="G92" s="12">
        <v>43563</v>
      </c>
      <c r="H92" s="11">
        <v>43560</v>
      </c>
      <c r="I92" s="12">
        <v>43519</v>
      </c>
      <c r="J92" s="11">
        <v>43558</v>
      </c>
      <c r="K92" s="12">
        <v>43559</v>
      </c>
      <c r="L92" s="11">
        <v>43564</v>
      </c>
      <c r="M92" s="12">
        <v>43554</v>
      </c>
      <c r="N92" s="11">
        <v>43553</v>
      </c>
      <c r="O92" s="12">
        <v>43539</v>
      </c>
      <c r="P92" s="11">
        <v>43566</v>
      </c>
      <c r="Q92" s="12">
        <v>43556</v>
      </c>
      <c r="R92" s="11">
        <v>43555</v>
      </c>
      <c r="S92" s="12">
        <v>43572</v>
      </c>
      <c r="T92" s="11">
        <f>IF(AG1,DATE(2019,1,2),DATE(2019,4,3))</f>
        <v>43558</v>
      </c>
      <c r="U92" s="12">
        <v>43543</v>
      </c>
      <c r="V92" s="11">
        <v>43555</v>
      </c>
      <c r="W92" s="12">
        <v>43561</v>
      </c>
      <c r="X92" s="11">
        <v>43569</v>
      </c>
      <c r="Y92" s="12">
        <f>IF(AG1,DATE(2019,2,7),DATE(2019,3,21))</f>
        <v>43545</v>
      </c>
      <c r="Z92" s="11">
        <v>43549</v>
      </c>
      <c r="AA92" s="12">
        <f>IF(AG1,DATE(2019,1,17),DATE(2019,4,11))</f>
        <v>43566</v>
      </c>
      <c r="AB92" s="11">
        <f>IF(AF1,DATE(2019,1,26),DATE(2019,4,3))</f>
        <v>43558</v>
      </c>
      <c r="AC92" s="12">
        <v>43561</v>
      </c>
      <c r="AD92" s="34"/>
      <c r="AE92" s="33">
        <f t="shared" si="16"/>
        <v>43519</v>
      </c>
      <c r="AF92" s="33">
        <f t="shared" si="17"/>
        <v>43558</v>
      </c>
      <c r="AG92" s="33">
        <f t="shared" si="18"/>
        <v>43572</v>
      </c>
      <c r="AH92">
        <v>113</v>
      </c>
      <c r="AK92" s="36" t="str">
        <f t="shared" si="11"/>
        <v/>
      </c>
      <c r="AL92">
        <f t="shared" si="19"/>
        <v>1</v>
      </c>
      <c r="AM92">
        <v>3</v>
      </c>
      <c r="AN92">
        <f t="shared" si="12"/>
        <v>53</v>
      </c>
      <c r="AO92" t="str">
        <f t="shared" si="13"/>
        <v>23.2.---3.4.---17.4.</v>
      </c>
      <c r="AP92" t="str">
        <f t="shared" si="14"/>
        <v>Piekana</v>
      </c>
      <c r="AQ92" t="str">
        <f t="shared" si="20"/>
        <v>(23.2.---3.4.---17.4., 3/21)</v>
      </c>
    </row>
    <row r="93" spans="1:43" x14ac:dyDescent="0.2">
      <c r="A93" s="1"/>
      <c r="B93" s="9"/>
      <c r="C93" s="10"/>
      <c r="D93" s="18" t="s">
        <v>87</v>
      </c>
      <c r="E93" s="10"/>
      <c r="F93" s="11"/>
      <c r="G93" s="12"/>
      <c r="H93" s="11"/>
      <c r="I93" s="12"/>
      <c r="J93" s="11"/>
      <c r="K93" s="12"/>
      <c r="L93" s="11"/>
      <c r="M93" s="12"/>
      <c r="N93" s="11"/>
      <c r="O93" s="12"/>
      <c r="P93" s="11"/>
      <c r="Q93" s="12"/>
      <c r="R93" s="11"/>
      <c r="S93" s="12"/>
      <c r="T93" s="11"/>
      <c r="U93" s="12"/>
      <c r="V93" s="11"/>
      <c r="W93" s="12"/>
      <c r="X93" s="11"/>
      <c r="Y93" s="12"/>
      <c r="Z93" s="11"/>
      <c r="AA93" s="12"/>
      <c r="AB93" s="11"/>
      <c r="AC93" s="12"/>
      <c r="AD93" s="34"/>
      <c r="AE93" s="33" t="str">
        <f t="shared" si="16"/>
        <v/>
      </c>
      <c r="AF93" s="33" t="str">
        <f t="shared" si="17"/>
        <v/>
      </c>
      <c r="AG93" s="33" t="str">
        <f t="shared" si="18"/>
        <v/>
      </c>
      <c r="AH93">
        <v>113.1</v>
      </c>
      <c r="AK93" s="36" t="str">
        <f t="shared" si="11"/>
        <v/>
      </c>
      <c r="AL93" t="str">
        <f t="shared" si="19"/>
        <v/>
      </c>
      <c r="AM93" t="s">
        <v>393</v>
      </c>
      <c r="AN93" t="e">
        <f t="shared" si="12"/>
        <v>#VALUE!</v>
      </c>
      <c r="AO93" t="str">
        <f t="shared" si="13"/>
        <v>------</v>
      </c>
      <c r="AP93" t="str">
        <f t="shared" si="14"/>
        <v>Hiirihaukkalaji</v>
      </c>
      <c r="AQ93" t="str">
        <f t="shared" si="20"/>
        <v>(------)</v>
      </c>
    </row>
    <row r="94" spans="1:43" x14ac:dyDescent="0.2">
      <c r="A94" s="1"/>
      <c r="B94" s="9">
        <f>B92+1</f>
        <v>90</v>
      </c>
      <c r="C94" s="10"/>
      <c r="D94" s="13" t="s">
        <v>88</v>
      </c>
      <c r="E94" s="14"/>
      <c r="F94" s="11"/>
      <c r="G94" s="12"/>
      <c r="H94" s="11"/>
      <c r="I94" s="12">
        <v>43592</v>
      </c>
      <c r="J94" s="11">
        <v>43584</v>
      </c>
      <c r="K94" s="12"/>
      <c r="L94" s="11">
        <v>43583</v>
      </c>
      <c r="M94" s="12">
        <v>43572</v>
      </c>
      <c r="N94" s="11">
        <v>43573</v>
      </c>
      <c r="O94" s="12">
        <v>43570</v>
      </c>
      <c r="P94" s="11">
        <v>43593</v>
      </c>
      <c r="Q94" s="12">
        <v>43592</v>
      </c>
      <c r="R94" s="11">
        <v>43579</v>
      </c>
      <c r="S94" s="12">
        <v>43576</v>
      </c>
      <c r="T94" s="11">
        <v>43574</v>
      </c>
      <c r="U94" s="12"/>
      <c r="V94" s="11">
        <v>43566</v>
      </c>
      <c r="W94" s="12">
        <v>43585</v>
      </c>
      <c r="X94" s="11">
        <v>43570</v>
      </c>
      <c r="Y94" s="12">
        <v>43594</v>
      </c>
      <c r="Z94" s="11">
        <v>43585</v>
      </c>
      <c r="AA94" s="12">
        <v>43585</v>
      </c>
      <c r="AB94" s="11">
        <v>43617</v>
      </c>
      <c r="AC94" s="12">
        <v>43588</v>
      </c>
      <c r="AD94" s="34"/>
      <c r="AE94" s="33">
        <f t="shared" si="16"/>
        <v>43566</v>
      </c>
      <c r="AF94" s="33">
        <f t="shared" si="17"/>
        <v>43581</v>
      </c>
      <c r="AG94" s="33">
        <f t="shared" si="18"/>
        <v>43594</v>
      </c>
      <c r="AH94">
        <v>114</v>
      </c>
      <c r="AK94" s="36" t="str">
        <f t="shared" si="11"/>
        <v/>
      </c>
      <c r="AL94" t="str">
        <f t="shared" si="19"/>
        <v/>
      </c>
      <c r="AM94" t="s">
        <v>393</v>
      </c>
      <c r="AN94">
        <f t="shared" si="12"/>
        <v>28</v>
      </c>
      <c r="AO94" t="str">
        <f t="shared" si="13"/>
        <v>11.4.---26.4.---9.5.</v>
      </c>
      <c r="AP94" t="str">
        <f t="shared" si="14"/>
        <v>Kiljukotka</v>
      </c>
      <c r="AQ94" t="str">
        <f t="shared" si="20"/>
        <v>(11.4.---26.4.---9.5.)</v>
      </c>
    </row>
    <row r="95" spans="1:43" x14ac:dyDescent="0.2">
      <c r="A95" s="1"/>
      <c r="B95" s="9">
        <f t="shared" ref="B95:B122" si="21">B94+1</f>
        <v>91</v>
      </c>
      <c r="C95" s="10"/>
      <c r="D95" s="13" t="s">
        <v>89</v>
      </c>
      <c r="E95" s="14"/>
      <c r="F95" s="11"/>
      <c r="G95" s="12"/>
      <c r="H95" s="11"/>
      <c r="I95" s="12"/>
      <c r="J95" s="11">
        <v>43600</v>
      </c>
      <c r="K95" s="12">
        <v>43591</v>
      </c>
      <c r="L95" s="11"/>
      <c r="M95" s="12"/>
      <c r="N95" s="11"/>
      <c r="O95" s="12"/>
      <c r="P95" s="11">
        <v>43610</v>
      </c>
      <c r="Q95" s="12"/>
      <c r="R95" s="11"/>
      <c r="S95" s="12">
        <v>43602</v>
      </c>
      <c r="T95" s="11">
        <v>43572</v>
      </c>
      <c r="U95" s="12"/>
      <c r="V95" s="11">
        <v>43608</v>
      </c>
      <c r="W95" s="12">
        <v>43580</v>
      </c>
      <c r="X95" s="11">
        <v>43597</v>
      </c>
      <c r="Y95" s="12">
        <v>43697</v>
      </c>
      <c r="Z95" s="11"/>
      <c r="AA95" s="12"/>
      <c r="AB95" s="11"/>
      <c r="AC95" s="12">
        <v>43626</v>
      </c>
      <c r="AD95" s="34"/>
      <c r="AE95" s="33">
        <f t="shared" si="16"/>
        <v>43572</v>
      </c>
      <c r="AF95" s="33">
        <f t="shared" si="17"/>
        <v>43600</v>
      </c>
      <c r="AG95" s="33">
        <f t="shared" si="18"/>
        <v>43697</v>
      </c>
      <c r="AH95">
        <v>115</v>
      </c>
      <c r="AK95" s="36" t="str">
        <f t="shared" si="11"/>
        <v/>
      </c>
      <c r="AL95" t="str">
        <f t="shared" si="19"/>
        <v/>
      </c>
      <c r="AM95" t="s">
        <v>393</v>
      </c>
      <c r="AN95">
        <f t="shared" si="12"/>
        <v>125</v>
      </c>
      <c r="AO95" t="str">
        <f t="shared" si="13"/>
        <v>17.4.---15.5.---20.8.</v>
      </c>
      <c r="AP95" t="str">
        <f t="shared" si="14"/>
        <v>Pikkukiljukotka</v>
      </c>
      <c r="AQ95" t="str">
        <f t="shared" si="20"/>
        <v>(17.4.---15.5.---20.8.)</v>
      </c>
    </row>
    <row r="96" spans="1:43" x14ac:dyDescent="0.2">
      <c r="A96" s="1"/>
      <c r="B96" s="9">
        <f t="shared" si="21"/>
        <v>92</v>
      </c>
      <c r="C96" s="10"/>
      <c r="D96" s="15" t="s">
        <v>90</v>
      </c>
      <c r="E96" s="16"/>
      <c r="F96" s="11"/>
      <c r="G96" s="12"/>
      <c r="H96" s="11"/>
      <c r="I96" s="12"/>
      <c r="J96" s="11"/>
      <c r="K96" s="12">
        <v>43612</v>
      </c>
      <c r="L96" s="11"/>
      <c r="M96" s="12"/>
      <c r="N96" s="11"/>
      <c r="O96" s="12"/>
      <c r="P96" s="11"/>
      <c r="Q96" s="12"/>
      <c r="R96" s="11"/>
      <c r="S96" s="12"/>
      <c r="T96" s="11"/>
      <c r="U96" s="12"/>
      <c r="V96" s="11"/>
      <c r="W96" s="12"/>
      <c r="X96" s="11"/>
      <c r="Y96" s="12"/>
      <c r="Z96" s="11"/>
      <c r="AA96" s="12"/>
      <c r="AB96" s="11"/>
      <c r="AC96" s="12"/>
      <c r="AD96" s="34"/>
      <c r="AE96" s="33">
        <f t="shared" si="16"/>
        <v>43612</v>
      </c>
      <c r="AF96" s="33">
        <f t="shared" si="17"/>
        <v>43612</v>
      </c>
      <c r="AG96" s="33">
        <f t="shared" si="18"/>
        <v>43612</v>
      </c>
      <c r="AH96">
        <v>116</v>
      </c>
      <c r="AK96" s="36" t="str">
        <f t="shared" si="11"/>
        <v/>
      </c>
      <c r="AL96" t="str">
        <f t="shared" si="19"/>
        <v/>
      </c>
      <c r="AM96" t="s">
        <v>393</v>
      </c>
      <c r="AN96">
        <f t="shared" si="12"/>
        <v>0</v>
      </c>
      <c r="AO96" t="str">
        <f t="shared" si="13"/>
        <v>27.5.---27.5.---27.5.</v>
      </c>
      <c r="AP96" t="str">
        <f t="shared" si="14"/>
        <v>Pikkukotka</v>
      </c>
      <c r="AQ96" t="str">
        <f t="shared" si="20"/>
        <v>(27.5.---27.5.---27.5.)</v>
      </c>
    </row>
    <row r="97" spans="1:43" x14ac:dyDescent="0.2">
      <c r="A97" s="1"/>
      <c r="B97" s="9">
        <f t="shared" si="21"/>
        <v>93</v>
      </c>
      <c r="C97" s="10"/>
      <c r="D97" s="9" t="s">
        <v>91</v>
      </c>
      <c r="E97" s="10"/>
      <c r="F97" s="11">
        <v>43507</v>
      </c>
      <c r="G97" s="12">
        <v>43479</v>
      </c>
      <c r="H97" s="11">
        <v>43495</v>
      </c>
      <c r="I97" s="12">
        <v>43476</v>
      </c>
      <c r="J97" s="11">
        <v>43466</v>
      </c>
      <c r="K97" s="12">
        <v>43481</v>
      </c>
      <c r="L97" s="11">
        <v>43485</v>
      </c>
      <c r="M97" s="12">
        <v>43475</v>
      </c>
      <c r="N97" s="11">
        <v>43466</v>
      </c>
      <c r="O97" s="12">
        <v>43467</v>
      </c>
      <c r="P97" s="11">
        <v>43466</v>
      </c>
      <c r="Q97" s="12">
        <v>43467</v>
      </c>
      <c r="R97" s="11">
        <v>43466</v>
      </c>
      <c r="S97" s="12">
        <v>43469</v>
      </c>
      <c r="T97" s="11">
        <v>43469</v>
      </c>
      <c r="U97" s="12">
        <v>43475</v>
      </c>
      <c r="V97" s="11">
        <v>43466</v>
      </c>
      <c r="W97" s="12">
        <v>43469</v>
      </c>
      <c r="X97" s="11">
        <v>43473</v>
      </c>
      <c r="Y97" s="12">
        <v>43470</v>
      </c>
      <c r="Z97" s="11">
        <v>43468</v>
      </c>
      <c r="AA97" s="12">
        <v>43468</v>
      </c>
      <c r="AB97" s="11">
        <v>43468</v>
      </c>
      <c r="AC97" s="12">
        <v>43466</v>
      </c>
      <c r="AD97" s="34"/>
      <c r="AE97" s="33">
        <f t="shared" si="16"/>
        <v>43466</v>
      </c>
      <c r="AF97" s="33">
        <f t="shared" si="17"/>
        <v>43469</v>
      </c>
      <c r="AG97" s="33">
        <f t="shared" si="18"/>
        <v>43507</v>
      </c>
      <c r="AH97">
        <v>117</v>
      </c>
      <c r="AK97" s="36" t="str">
        <f t="shared" si="11"/>
        <v/>
      </c>
      <c r="AL97">
        <f t="shared" si="19"/>
        <v>21</v>
      </c>
      <c r="AM97">
        <v>21</v>
      </c>
      <c r="AN97">
        <f t="shared" si="12"/>
        <v>41</v>
      </c>
      <c r="AO97" t="str">
        <f t="shared" si="13"/>
        <v>1.1.---4.1.---11.2.</v>
      </c>
      <c r="AP97" t="str">
        <f t="shared" si="14"/>
        <v>Maakotka</v>
      </c>
      <c r="AQ97" t="str">
        <f t="shared" si="20"/>
        <v>(1.1.---4.1.---11.2., 21/21)</v>
      </c>
    </row>
    <row r="98" spans="1:43" x14ac:dyDescent="0.2">
      <c r="A98" s="1"/>
      <c r="B98" s="9">
        <f t="shared" si="21"/>
        <v>94</v>
      </c>
      <c r="C98" s="10"/>
      <c r="D98" s="15" t="s">
        <v>92</v>
      </c>
      <c r="E98" s="16"/>
      <c r="F98" s="11"/>
      <c r="G98" s="12"/>
      <c r="H98" s="11"/>
      <c r="I98" s="12"/>
      <c r="J98" s="11">
        <v>43613</v>
      </c>
      <c r="K98" s="12"/>
      <c r="L98" s="11">
        <v>43612</v>
      </c>
      <c r="M98" s="12"/>
      <c r="N98" s="11"/>
      <c r="O98" s="12"/>
      <c r="P98" s="11"/>
      <c r="Q98" s="12"/>
      <c r="R98" s="11"/>
      <c r="S98" s="12">
        <v>43654</v>
      </c>
      <c r="T98" s="11"/>
      <c r="U98" s="12"/>
      <c r="V98" s="11"/>
      <c r="W98" s="12">
        <v>43720</v>
      </c>
      <c r="X98" s="11"/>
      <c r="Y98" s="12"/>
      <c r="Z98" s="11"/>
      <c r="AA98" s="12"/>
      <c r="AB98" s="11"/>
      <c r="AC98" s="12"/>
      <c r="AD98" s="34"/>
      <c r="AE98" s="33">
        <f t="shared" si="16"/>
        <v>43612</v>
      </c>
      <c r="AF98" s="33">
        <f t="shared" si="17"/>
        <v>43633.5</v>
      </c>
      <c r="AG98" s="33">
        <f t="shared" si="18"/>
        <v>43720</v>
      </c>
      <c r="AH98">
        <v>118</v>
      </c>
      <c r="AK98" s="36" t="str">
        <f t="shared" si="11"/>
        <v/>
      </c>
      <c r="AL98" t="str">
        <f t="shared" si="19"/>
        <v/>
      </c>
      <c r="AM98" t="s">
        <v>393</v>
      </c>
      <c r="AN98">
        <f t="shared" si="12"/>
        <v>108</v>
      </c>
      <c r="AO98" t="str">
        <f t="shared" si="13"/>
        <v>27.5.---17.6.---12.9.</v>
      </c>
      <c r="AP98" t="str">
        <f t="shared" si="14"/>
        <v>Arokotka</v>
      </c>
      <c r="AQ98" t="str">
        <f t="shared" si="20"/>
        <v>(27.5.---17.6.---12.9.)</v>
      </c>
    </row>
    <row r="99" spans="1:43" x14ac:dyDescent="0.2">
      <c r="A99" s="1"/>
      <c r="B99" s="9">
        <f t="shared" si="21"/>
        <v>95</v>
      </c>
      <c r="C99" s="10"/>
      <c r="D99" s="15" t="s">
        <v>93</v>
      </c>
      <c r="E99" s="16"/>
      <c r="F99" s="11"/>
      <c r="G99" s="12"/>
      <c r="H99" s="11"/>
      <c r="I99" s="12"/>
      <c r="J99" s="11"/>
      <c r="K99" s="12"/>
      <c r="L99" s="11">
        <v>43605</v>
      </c>
      <c r="M99" s="12"/>
      <c r="N99" s="11"/>
      <c r="O99" s="12"/>
      <c r="P99" s="11"/>
      <c r="Q99" s="12"/>
      <c r="R99" s="11"/>
      <c r="S99" s="12"/>
      <c r="T99" s="11"/>
      <c r="U99" s="12"/>
      <c r="V99" s="11"/>
      <c r="W99" s="12"/>
      <c r="X99" s="11"/>
      <c r="Y99" s="12"/>
      <c r="Z99" s="11"/>
      <c r="AA99" s="12"/>
      <c r="AB99" s="11"/>
      <c r="AC99" s="12"/>
      <c r="AD99" s="34"/>
      <c r="AE99" s="33">
        <f t="shared" si="16"/>
        <v>43605</v>
      </c>
      <c r="AF99" s="33">
        <f t="shared" si="17"/>
        <v>43605</v>
      </c>
      <c r="AG99" s="33">
        <f t="shared" si="18"/>
        <v>43605</v>
      </c>
      <c r="AH99">
        <v>119</v>
      </c>
      <c r="AK99" s="36" t="str">
        <f t="shared" si="11"/>
        <v/>
      </c>
      <c r="AL99" t="str">
        <f t="shared" si="19"/>
        <v/>
      </c>
      <c r="AM99" t="s">
        <v>393</v>
      </c>
      <c r="AN99">
        <f t="shared" si="12"/>
        <v>0</v>
      </c>
      <c r="AO99" t="str">
        <f t="shared" si="13"/>
        <v>20.5.---20.5.---20.5.</v>
      </c>
      <c r="AP99" t="str">
        <f t="shared" si="14"/>
        <v>Keisarikotka</v>
      </c>
      <c r="AQ99" t="str">
        <f t="shared" si="20"/>
        <v>(20.5.---20.5.---20.5.)</v>
      </c>
    </row>
    <row r="100" spans="1:43" x14ac:dyDescent="0.2">
      <c r="A100" s="1"/>
      <c r="B100" s="9">
        <f t="shared" si="21"/>
        <v>96</v>
      </c>
      <c r="C100" s="10"/>
      <c r="D100" s="9" t="s">
        <v>94</v>
      </c>
      <c r="E100" s="10"/>
      <c r="F100" s="11">
        <v>43576</v>
      </c>
      <c r="G100" s="12">
        <v>43576</v>
      </c>
      <c r="H100" s="11">
        <v>43580</v>
      </c>
      <c r="I100" s="12">
        <v>43576</v>
      </c>
      <c r="J100" s="11">
        <v>43573</v>
      </c>
      <c r="K100" s="12">
        <v>43569</v>
      </c>
      <c r="L100" s="11">
        <v>43564</v>
      </c>
      <c r="M100" s="12">
        <v>43563</v>
      </c>
      <c r="N100" s="11">
        <v>43573</v>
      </c>
      <c r="O100" s="12">
        <v>43567</v>
      </c>
      <c r="P100" s="11">
        <v>43571</v>
      </c>
      <c r="Q100" s="12">
        <v>43570</v>
      </c>
      <c r="R100" s="11">
        <v>43571</v>
      </c>
      <c r="S100" s="12">
        <v>43575</v>
      </c>
      <c r="T100" s="11">
        <v>43574</v>
      </c>
      <c r="U100" s="12">
        <v>43573</v>
      </c>
      <c r="V100" s="11">
        <v>43572</v>
      </c>
      <c r="W100" s="12">
        <v>43576</v>
      </c>
      <c r="X100" s="11">
        <v>43572</v>
      </c>
      <c r="Y100" s="12">
        <v>43574</v>
      </c>
      <c r="Z100" s="11">
        <v>43571</v>
      </c>
      <c r="AA100" s="12">
        <v>43570</v>
      </c>
      <c r="AB100" s="11">
        <v>43578</v>
      </c>
      <c r="AC100" s="12">
        <v>43577</v>
      </c>
      <c r="AD100" s="34"/>
      <c r="AE100" s="33">
        <f t="shared" si="16"/>
        <v>43563</v>
      </c>
      <c r="AF100" s="33">
        <f t="shared" si="17"/>
        <v>43573</v>
      </c>
      <c r="AG100" s="33">
        <f t="shared" si="18"/>
        <v>43580</v>
      </c>
      <c r="AH100">
        <v>120</v>
      </c>
      <c r="AK100" s="36" t="str">
        <f t="shared" si="11"/>
        <v/>
      </c>
      <c r="AL100" t="str">
        <f t="shared" si="19"/>
        <v/>
      </c>
      <c r="AM100" t="s">
        <v>393</v>
      </c>
      <c r="AN100">
        <f t="shared" si="12"/>
        <v>17</v>
      </c>
      <c r="AO100" t="str">
        <f t="shared" si="13"/>
        <v>8.4.---18.4.---25.4.</v>
      </c>
      <c r="AP100" t="str">
        <f t="shared" si="14"/>
        <v>Sääksi</v>
      </c>
      <c r="AQ100" t="str">
        <f t="shared" si="20"/>
        <v>(8.4.---18.4.---25.4.)</v>
      </c>
    </row>
    <row r="101" spans="1:43" x14ac:dyDescent="0.2">
      <c r="A101" s="1"/>
      <c r="B101" s="9">
        <f t="shared" si="21"/>
        <v>97</v>
      </c>
      <c r="C101" s="10"/>
      <c r="D101" s="9" t="s">
        <v>95</v>
      </c>
      <c r="E101" s="10"/>
      <c r="F101" s="11">
        <v>43545</v>
      </c>
      <c r="G101" s="12">
        <v>43555</v>
      </c>
      <c r="H101" s="11">
        <v>43545</v>
      </c>
      <c r="I101" s="12">
        <v>43551</v>
      </c>
      <c r="J101" s="11">
        <v>43558</v>
      </c>
      <c r="K101" s="12">
        <v>43549</v>
      </c>
      <c r="L101" s="11">
        <f>IF(AG1,DATE(2019,1,5),DATE(2019,4,4))</f>
        <v>43559</v>
      </c>
      <c r="M101" s="12">
        <f>IF(AG1,DATE(2019,1,1),DATE(2019,3,17))</f>
        <v>43541</v>
      </c>
      <c r="N101" s="11">
        <v>43537</v>
      </c>
      <c r="O101" s="12">
        <f>IF(AG1,DATE(2019,1,1),DATE(2019,3,28))</f>
        <v>43552</v>
      </c>
      <c r="P101" s="11">
        <v>43556</v>
      </c>
      <c r="Q101" s="12">
        <v>43555</v>
      </c>
      <c r="R101" s="11">
        <f>IF(AG1,DATE(2019,2,3),DATE(2019,3,24))</f>
        <v>43548</v>
      </c>
      <c r="S101" s="12">
        <v>43565</v>
      </c>
      <c r="T101" s="11">
        <v>43533</v>
      </c>
      <c r="U101" s="12">
        <v>43538</v>
      </c>
      <c r="V101" s="11">
        <v>43551</v>
      </c>
      <c r="W101" s="12">
        <v>43545</v>
      </c>
      <c r="X101" s="11">
        <v>43564</v>
      </c>
      <c r="Y101" s="12">
        <v>43548</v>
      </c>
      <c r="Z101" s="11">
        <v>43543</v>
      </c>
      <c r="AA101" s="12">
        <f>IF(AG1,DATE(2019,1,20),DATE(2019,3,27))</f>
        <v>43551</v>
      </c>
      <c r="AB101" s="11">
        <v>43545</v>
      </c>
      <c r="AC101" s="12">
        <v>43527</v>
      </c>
      <c r="AD101" s="34"/>
      <c r="AE101" s="33">
        <f t="shared" si="16"/>
        <v>43533</v>
      </c>
      <c r="AF101" s="33">
        <f t="shared" si="17"/>
        <v>43549</v>
      </c>
      <c r="AG101" s="33">
        <f t="shared" si="18"/>
        <v>43565</v>
      </c>
      <c r="AH101">
        <v>122</v>
      </c>
      <c r="AK101" s="36" t="str">
        <f t="shared" si="11"/>
        <v/>
      </c>
      <c r="AL101" t="str">
        <f t="shared" si="19"/>
        <v/>
      </c>
      <c r="AM101">
        <v>4</v>
      </c>
      <c r="AN101">
        <f t="shared" si="12"/>
        <v>32</v>
      </c>
      <c r="AO101" t="str">
        <f t="shared" si="13"/>
        <v>9.3.---25.3.---10.4.</v>
      </c>
      <c r="AP101" t="str">
        <f t="shared" si="14"/>
        <v>Tuulihaukka</v>
      </c>
      <c r="AQ101" t="str">
        <f t="shared" si="20"/>
        <v>(9.3.---25.3.---10.4., 4/21)</v>
      </c>
    </row>
    <row r="102" spans="1:43" x14ac:dyDescent="0.2">
      <c r="A102" s="1"/>
      <c r="B102" s="9">
        <f t="shared" si="21"/>
        <v>98</v>
      </c>
      <c r="C102" s="10"/>
      <c r="D102" s="13" t="s">
        <v>96</v>
      </c>
      <c r="E102" s="14"/>
      <c r="F102" s="11"/>
      <c r="G102" s="12"/>
      <c r="H102" s="11"/>
      <c r="I102" s="12">
        <v>43603</v>
      </c>
      <c r="J102" s="11">
        <v>43609</v>
      </c>
      <c r="K102" s="12">
        <v>43601</v>
      </c>
      <c r="L102" s="11">
        <v>43618</v>
      </c>
      <c r="M102" s="12">
        <v>43624</v>
      </c>
      <c r="N102" s="11">
        <v>43631</v>
      </c>
      <c r="O102" s="12">
        <v>43606</v>
      </c>
      <c r="P102" s="11">
        <v>43611</v>
      </c>
      <c r="Q102" s="12">
        <v>43656</v>
      </c>
      <c r="R102" s="11">
        <v>43610</v>
      </c>
      <c r="S102" s="12">
        <v>43726</v>
      </c>
      <c r="T102" s="11">
        <v>43610</v>
      </c>
      <c r="U102" s="12">
        <v>43729</v>
      </c>
      <c r="V102" s="11"/>
      <c r="W102" s="12"/>
      <c r="X102" s="11">
        <v>43598</v>
      </c>
      <c r="Y102" s="12">
        <v>43700</v>
      </c>
      <c r="Z102" s="11">
        <v>43705</v>
      </c>
      <c r="AA102" s="12"/>
      <c r="AB102" s="11">
        <v>43619</v>
      </c>
      <c r="AC102" s="12">
        <v>43699</v>
      </c>
      <c r="AD102" s="34"/>
      <c r="AE102" s="33">
        <f t="shared" si="16"/>
        <v>43598</v>
      </c>
      <c r="AF102" s="33">
        <f t="shared" si="17"/>
        <v>43614.5</v>
      </c>
      <c r="AG102" s="33">
        <f t="shared" si="18"/>
        <v>43729</v>
      </c>
      <c r="AH102">
        <v>123</v>
      </c>
      <c r="AK102" s="36" t="str">
        <f t="shared" si="11"/>
        <v/>
      </c>
      <c r="AL102" t="str">
        <f t="shared" si="19"/>
        <v/>
      </c>
      <c r="AM102" t="s">
        <v>393</v>
      </c>
      <c r="AN102">
        <f t="shared" si="12"/>
        <v>131</v>
      </c>
      <c r="AO102" t="str">
        <f t="shared" si="13"/>
        <v>13.5.---29.5.---21.9.</v>
      </c>
      <c r="AP102" t="str">
        <f t="shared" si="14"/>
        <v>Punajalkahaukka</v>
      </c>
      <c r="AQ102" t="str">
        <f t="shared" si="20"/>
        <v>(13.5.---29.5.---21.9.)</v>
      </c>
    </row>
    <row r="103" spans="1:43" x14ac:dyDescent="0.2">
      <c r="A103" s="1"/>
      <c r="B103" s="9">
        <f t="shared" si="21"/>
        <v>99</v>
      </c>
      <c r="C103" s="10"/>
      <c r="D103" s="9" t="s">
        <v>97</v>
      </c>
      <c r="E103" s="10"/>
      <c r="F103" s="11">
        <v>43556</v>
      </c>
      <c r="G103" s="12">
        <f>IF(AG1,DATE(2019,1,13),DATE(2019,3,30))</f>
        <v>43554</v>
      </c>
      <c r="H103" s="11">
        <f>IF(AG1,DATE(2019,1,15),DATE(2019,3,20))</f>
        <v>43544</v>
      </c>
      <c r="I103" s="12">
        <f>IF(AG1,DATE(2019,1,2),DATE(2019,3,18))</f>
        <v>43542</v>
      </c>
      <c r="J103" s="11">
        <f>IF(AG1,DATE(2019,1,6),DATE(2019,3,11))</f>
        <v>43535</v>
      </c>
      <c r="K103" s="12">
        <f>IF(AG1,DATE(2019,1,31),DATE(2019,4,2))</f>
        <v>43557</v>
      </c>
      <c r="L103" s="11">
        <f>IF(AG1,DATE(2019,1,4),DATE(2019,4,8))</f>
        <v>43563</v>
      </c>
      <c r="M103" s="12">
        <f>IF(AG1,DATE(2019,1,7),DATE(2019,3,2))</f>
        <v>43526</v>
      </c>
      <c r="N103" s="11">
        <f>IF(AG1,DATE(2019,1,12),DATE(2019,3,6))</f>
        <v>43530</v>
      </c>
      <c r="O103" s="12">
        <f>IF(AG1,DATE(2019,1,1),DATE(2019,3,17))</f>
        <v>43541</v>
      </c>
      <c r="P103" s="11">
        <f>IF(AG1,DATE(2019,1,6),DATE(2019,3,27))</f>
        <v>43551</v>
      </c>
      <c r="Q103" s="12">
        <v>43558</v>
      </c>
      <c r="R103" s="11">
        <f>IF(AG1,DATE(2019,1,2),DATE(2019,3,28))</f>
        <v>43552</v>
      </c>
      <c r="S103" s="12">
        <f>IF(AG1,DATE(2019,1,21),DATE(2019,3,30))</f>
        <v>43554</v>
      </c>
      <c r="T103" s="11">
        <f>IF(AG1,DATE(2019,1,4),DATE(2019,3,9))</f>
        <v>43533</v>
      </c>
      <c r="U103" s="12">
        <f>IF(AG1,DATE(2019,1,11),DATE(2019,3,22))</f>
        <v>43546</v>
      </c>
      <c r="V103" s="11">
        <f>IF(AG1,DATE(2019,1,27),DATE(2019,3,27))</f>
        <v>43551</v>
      </c>
      <c r="W103" s="12">
        <f>IF(AG1,DATE(2019,1,4),DATE(2019,3,9))</f>
        <v>43533</v>
      </c>
      <c r="X103" s="11">
        <f>IF(AG1,DATE(2019,1,4),DATE(2019,3,25))</f>
        <v>43549</v>
      </c>
      <c r="Y103" s="12">
        <f>IF(AG1,DATE(2019,1,5),DATE(2019,3,18))</f>
        <v>43542</v>
      </c>
      <c r="Z103" s="11">
        <f>IF(AG1,DATE(2019,1,2),DATE(2019,3,20))</f>
        <v>43544</v>
      </c>
      <c r="AA103" s="12">
        <f>IF(AG1,DATE(2019,1,1),DATE(2019,3,25))</f>
        <v>43549</v>
      </c>
      <c r="AB103" s="11">
        <f>IF(AF1,DATE(2019,1,15),DATE(2019,3,15))</f>
        <v>43539</v>
      </c>
      <c r="AC103" s="12">
        <v>43479</v>
      </c>
      <c r="AD103" s="34"/>
      <c r="AE103" s="33">
        <f t="shared" si="16"/>
        <v>43526</v>
      </c>
      <c r="AF103" s="33">
        <f t="shared" si="17"/>
        <v>43546</v>
      </c>
      <c r="AG103" s="33">
        <f t="shared" si="18"/>
        <v>43563</v>
      </c>
      <c r="AH103">
        <v>124</v>
      </c>
      <c r="AK103" s="36" t="str">
        <f t="shared" si="11"/>
        <v/>
      </c>
      <c r="AL103" t="str">
        <f t="shared" si="19"/>
        <v/>
      </c>
      <c r="AM103">
        <v>19</v>
      </c>
      <c r="AN103">
        <f t="shared" si="12"/>
        <v>37</v>
      </c>
      <c r="AO103" t="str">
        <f t="shared" si="13"/>
        <v>2.3.---22.3.---8.4.</v>
      </c>
      <c r="AP103" t="str">
        <f t="shared" si="14"/>
        <v>Ampuhaukka</v>
      </c>
      <c r="AQ103" t="str">
        <f t="shared" si="20"/>
        <v>(2.3.---22.3.---8.4., 19/21)</v>
      </c>
    </row>
    <row r="104" spans="1:43" x14ac:dyDescent="0.2">
      <c r="A104" s="1"/>
      <c r="B104" s="9">
        <f t="shared" si="21"/>
        <v>100</v>
      </c>
      <c r="C104" s="10"/>
      <c r="D104" s="9" t="s">
        <v>98</v>
      </c>
      <c r="E104" s="10"/>
      <c r="F104" s="11">
        <v>43590</v>
      </c>
      <c r="G104" s="12">
        <v>43591</v>
      </c>
      <c r="H104" s="11">
        <v>43589</v>
      </c>
      <c r="I104" s="12">
        <v>43586</v>
      </c>
      <c r="J104" s="11">
        <v>43572</v>
      </c>
      <c r="K104" s="12">
        <v>43586</v>
      </c>
      <c r="L104" s="11">
        <v>43586</v>
      </c>
      <c r="M104" s="12">
        <v>43585</v>
      </c>
      <c r="N104" s="11">
        <v>43579</v>
      </c>
      <c r="O104" s="12">
        <v>43577</v>
      </c>
      <c r="P104" s="11">
        <v>43588</v>
      </c>
      <c r="Q104" s="12">
        <v>43579</v>
      </c>
      <c r="R104" s="11">
        <v>43573</v>
      </c>
      <c r="S104" s="12">
        <v>43577</v>
      </c>
      <c r="T104" s="11">
        <v>43574</v>
      </c>
      <c r="U104" s="12">
        <v>43586</v>
      </c>
      <c r="V104" s="11">
        <v>43583</v>
      </c>
      <c r="W104" s="12">
        <v>43567</v>
      </c>
      <c r="X104" s="11">
        <v>43580</v>
      </c>
      <c r="Y104" s="12">
        <v>43581</v>
      </c>
      <c r="Z104" s="11">
        <v>43577</v>
      </c>
      <c r="AA104" s="12">
        <v>43574</v>
      </c>
      <c r="AB104" s="11">
        <v>43586</v>
      </c>
      <c r="AC104" s="12">
        <v>43568</v>
      </c>
      <c r="AD104" s="34"/>
      <c r="AE104" s="33">
        <f t="shared" si="16"/>
        <v>43567</v>
      </c>
      <c r="AF104" s="33">
        <f t="shared" si="17"/>
        <v>43581</v>
      </c>
      <c r="AG104" s="33">
        <f t="shared" si="18"/>
        <v>43591</v>
      </c>
      <c r="AH104">
        <v>125</v>
      </c>
      <c r="AK104" s="36" t="str">
        <f t="shared" si="11"/>
        <v/>
      </c>
      <c r="AL104" t="str">
        <f t="shared" si="19"/>
        <v/>
      </c>
      <c r="AM104" t="s">
        <v>393</v>
      </c>
      <c r="AN104">
        <f t="shared" si="12"/>
        <v>24</v>
      </c>
      <c r="AO104" t="str">
        <f t="shared" si="13"/>
        <v>12.4.---26.4.---6.5.</v>
      </c>
      <c r="AP104" t="str">
        <f t="shared" si="14"/>
        <v>Nuolihaukka</v>
      </c>
      <c r="AQ104" t="str">
        <f t="shared" si="20"/>
        <v>(12.4.---26.4.---6.5.)</v>
      </c>
    </row>
    <row r="105" spans="1:43" x14ac:dyDescent="0.2">
      <c r="A105" s="1"/>
      <c r="B105" s="9">
        <f t="shared" si="21"/>
        <v>101</v>
      </c>
      <c r="C105" s="10"/>
      <c r="D105" s="13" t="s">
        <v>99</v>
      </c>
      <c r="E105" s="14"/>
      <c r="F105" s="11"/>
      <c r="G105" s="12"/>
      <c r="H105" s="11"/>
      <c r="I105" s="12">
        <v>43784</v>
      </c>
      <c r="J105" s="11">
        <v>43552</v>
      </c>
      <c r="K105" s="12">
        <v>43739</v>
      </c>
      <c r="L105" s="11">
        <v>43557</v>
      </c>
      <c r="M105" s="12">
        <v>43561</v>
      </c>
      <c r="N105" s="11">
        <v>43595</v>
      </c>
      <c r="O105" s="12">
        <v>43603</v>
      </c>
      <c r="P105" s="11">
        <v>43773</v>
      </c>
      <c r="Q105" s="12">
        <v>43744</v>
      </c>
      <c r="R105" s="11">
        <v>43740</v>
      </c>
      <c r="S105" s="12"/>
      <c r="T105" s="11">
        <v>43743</v>
      </c>
      <c r="U105" s="12">
        <v>43599</v>
      </c>
      <c r="V105" s="11"/>
      <c r="W105" s="12"/>
      <c r="X105" s="11">
        <v>43486</v>
      </c>
      <c r="Y105" s="12">
        <v>43502</v>
      </c>
      <c r="Z105" s="11">
        <v>43567</v>
      </c>
      <c r="AA105" s="12"/>
      <c r="AB105" s="11">
        <v>43500</v>
      </c>
      <c r="AC105" s="12"/>
      <c r="AD105" s="34"/>
      <c r="AE105" s="33">
        <f t="shared" si="16"/>
        <v>43486</v>
      </c>
      <c r="AF105" s="33">
        <f t="shared" si="17"/>
        <v>43599</v>
      </c>
      <c r="AG105" s="33">
        <f t="shared" si="18"/>
        <v>43784</v>
      </c>
      <c r="AH105">
        <v>128</v>
      </c>
      <c r="AK105" s="36" t="str">
        <f t="shared" si="11"/>
        <v/>
      </c>
      <c r="AL105">
        <f t="shared" si="19"/>
        <v>2</v>
      </c>
      <c r="AM105">
        <v>2</v>
      </c>
      <c r="AN105">
        <f t="shared" si="12"/>
        <v>298</v>
      </c>
      <c r="AO105" t="str">
        <f t="shared" si="13"/>
        <v>21.1.---14.5.---15.11.</v>
      </c>
      <c r="AP105" t="str">
        <f t="shared" si="14"/>
        <v>Tunturihaukka</v>
      </c>
      <c r="AQ105" t="str">
        <f t="shared" si="20"/>
        <v>(21.1.---14.5.---15.11., 2/21)</v>
      </c>
    </row>
    <row r="106" spans="1:43" x14ac:dyDescent="0.2">
      <c r="A106" s="1"/>
      <c r="B106" s="9">
        <f t="shared" si="21"/>
        <v>102</v>
      </c>
      <c r="C106" s="10"/>
      <c r="D106" s="9" t="s">
        <v>100</v>
      </c>
      <c r="E106" s="10"/>
      <c r="F106" s="11">
        <v>43563</v>
      </c>
      <c r="G106" s="12">
        <v>43560</v>
      </c>
      <c r="H106" s="11">
        <v>43552</v>
      </c>
      <c r="I106" s="12">
        <v>43561</v>
      </c>
      <c r="J106" s="11">
        <v>43557</v>
      </c>
      <c r="K106" s="12">
        <v>43557</v>
      </c>
      <c r="L106" s="11">
        <v>43562</v>
      </c>
      <c r="M106" s="12">
        <v>43557</v>
      </c>
      <c r="N106" s="11">
        <v>43555</v>
      </c>
      <c r="O106" s="12">
        <v>43559</v>
      </c>
      <c r="P106" s="11">
        <v>43557</v>
      </c>
      <c r="Q106" s="12">
        <v>43557</v>
      </c>
      <c r="R106" s="11">
        <v>43556</v>
      </c>
      <c r="S106" s="12">
        <v>43568</v>
      </c>
      <c r="T106" s="11">
        <v>43560</v>
      </c>
      <c r="U106" s="12">
        <v>43555</v>
      </c>
      <c r="V106" s="11">
        <v>43553</v>
      </c>
      <c r="W106" s="12">
        <v>43559</v>
      </c>
      <c r="X106" s="11">
        <v>43567</v>
      </c>
      <c r="Y106" s="12">
        <v>43553</v>
      </c>
      <c r="Z106" s="11">
        <v>43550</v>
      </c>
      <c r="AA106" s="12">
        <v>43560</v>
      </c>
      <c r="AB106" s="11">
        <v>43567</v>
      </c>
      <c r="AC106" s="12">
        <v>43562</v>
      </c>
      <c r="AD106" s="34"/>
      <c r="AE106" s="33">
        <f t="shared" si="16"/>
        <v>43550</v>
      </c>
      <c r="AF106" s="33">
        <f t="shared" si="17"/>
        <v>43557</v>
      </c>
      <c r="AG106" s="33">
        <f t="shared" si="18"/>
        <v>43568</v>
      </c>
      <c r="AH106">
        <v>129</v>
      </c>
      <c r="AK106" s="36" t="str">
        <f t="shared" si="11"/>
        <v/>
      </c>
      <c r="AL106" t="str">
        <f t="shared" si="19"/>
        <v/>
      </c>
      <c r="AM106" t="s">
        <v>393</v>
      </c>
      <c r="AN106">
        <f t="shared" si="12"/>
        <v>18</v>
      </c>
      <c r="AO106" t="str">
        <f t="shared" si="13"/>
        <v>26.3.---2.4.---13.4.</v>
      </c>
      <c r="AP106" t="str">
        <f t="shared" si="14"/>
        <v>Muuttohaukka</v>
      </c>
      <c r="AQ106" t="str">
        <f t="shared" si="20"/>
        <v>(26.3.---2.4.---13.4.)</v>
      </c>
    </row>
    <row r="107" spans="1:43" x14ac:dyDescent="0.2">
      <c r="A107" s="1"/>
      <c r="B107" s="9">
        <f t="shared" si="21"/>
        <v>103</v>
      </c>
      <c r="C107" s="10"/>
      <c r="D107" s="9" t="s">
        <v>101</v>
      </c>
      <c r="E107" s="10"/>
      <c r="F107" s="11">
        <v>43571</v>
      </c>
      <c r="G107" s="12">
        <v>43597</v>
      </c>
      <c r="H107" s="11">
        <v>43591</v>
      </c>
      <c r="I107" s="12">
        <v>43595</v>
      </c>
      <c r="J107" s="11">
        <v>43591</v>
      </c>
      <c r="K107" s="12">
        <v>43580</v>
      </c>
      <c r="L107" s="11">
        <v>43581</v>
      </c>
      <c r="M107" s="12">
        <v>43576</v>
      </c>
      <c r="N107" s="11">
        <v>43575</v>
      </c>
      <c r="O107" s="12">
        <v>43584</v>
      </c>
      <c r="P107" s="11">
        <v>43587</v>
      </c>
      <c r="Q107" s="12">
        <v>43576</v>
      </c>
      <c r="R107" s="11">
        <v>43560</v>
      </c>
      <c r="S107" s="12">
        <v>43590</v>
      </c>
      <c r="T107" s="11">
        <v>43571</v>
      </c>
      <c r="U107" s="12">
        <v>43557</v>
      </c>
      <c r="V107" s="11">
        <v>43576</v>
      </c>
      <c r="W107" s="12">
        <v>43591</v>
      </c>
      <c r="X107" s="11">
        <v>43585</v>
      </c>
      <c r="Y107" s="12">
        <v>43574</v>
      </c>
      <c r="Z107" s="11">
        <v>43578</v>
      </c>
      <c r="AA107" s="12">
        <v>43553</v>
      </c>
      <c r="AB107" s="11">
        <v>43567</v>
      </c>
      <c r="AC107" s="12">
        <v>43567</v>
      </c>
      <c r="AD107" s="34"/>
      <c r="AE107" s="33">
        <f t="shared" si="16"/>
        <v>43557</v>
      </c>
      <c r="AF107" s="33">
        <f t="shared" si="17"/>
        <v>43580</v>
      </c>
      <c r="AG107" s="33">
        <f t="shared" si="18"/>
        <v>43597</v>
      </c>
      <c r="AH107">
        <v>130</v>
      </c>
      <c r="AK107" s="36" t="str">
        <f t="shared" si="11"/>
        <v/>
      </c>
      <c r="AL107" t="str">
        <f t="shared" si="19"/>
        <v/>
      </c>
      <c r="AM107" t="s">
        <v>393</v>
      </c>
      <c r="AN107">
        <f t="shared" si="12"/>
        <v>40</v>
      </c>
      <c r="AO107" t="str">
        <f t="shared" si="13"/>
        <v>2.4.---25.4.---12.5.</v>
      </c>
      <c r="AP107" t="str">
        <f t="shared" si="14"/>
        <v>Luhtakana</v>
      </c>
      <c r="AQ107" t="str">
        <f t="shared" si="20"/>
        <v>(2.4.---25.4.---12.5.)</v>
      </c>
    </row>
    <row r="108" spans="1:43" x14ac:dyDescent="0.2">
      <c r="A108" s="1"/>
      <c r="B108" s="9">
        <f t="shared" si="21"/>
        <v>104</v>
      </c>
      <c r="C108" s="10"/>
      <c r="D108" s="9" t="s">
        <v>102</v>
      </c>
      <c r="E108" s="10"/>
      <c r="F108" s="11">
        <v>43579</v>
      </c>
      <c r="G108" s="12">
        <v>43596</v>
      </c>
      <c r="H108" s="11">
        <v>43583</v>
      </c>
      <c r="I108" s="12">
        <v>43595</v>
      </c>
      <c r="J108" s="11">
        <v>43586</v>
      </c>
      <c r="K108" s="12">
        <v>43580</v>
      </c>
      <c r="L108" s="11">
        <v>43592</v>
      </c>
      <c r="M108" s="12">
        <v>43598</v>
      </c>
      <c r="N108" s="11">
        <v>43595</v>
      </c>
      <c r="O108" s="12">
        <v>43596</v>
      </c>
      <c r="P108" s="11">
        <v>43604</v>
      </c>
      <c r="Q108" s="12">
        <v>43589</v>
      </c>
      <c r="R108" s="11">
        <v>43612</v>
      </c>
      <c r="S108" s="12">
        <v>43597</v>
      </c>
      <c r="T108" s="11">
        <v>43592</v>
      </c>
      <c r="U108" s="12">
        <v>43585</v>
      </c>
      <c r="V108" s="11">
        <v>43586</v>
      </c>
      <c r="W108" s="12">
        <v>43598</v>
      </c>
      <c r="X108" s="11">
        <v>43593</v>
      </c>
      <c r="Y108" s="12">
        <v>43580</v>
      </c>
      <c r="Z108" s="11">
        <v>43592</v>
      </c>
      <c r="AA108" s="12">
        <v>43589</v>
      </c>
      <c r="AB108" s="11">
        <v>43594</v>
      </c>
      <c r="AC108" s="12">
        <v>43588</v>
      </c>
      <c r="AD108" s="34"/>
      <c r="AE108" s="33">
        <f t="shared" si="16"/>
        <v>43579</v>
      </c>
      <c r="AF108" s="33">
        <f t="shared" si="17"/>
        <v>43592</v>
      </c>
      <c r="AG108" s="33">
        <f t="shared" si="18"/>
        <v>43612</v>
      </c>
      <c r="AH108">
        <v>131</v>
      </c>
      <c r="AK108" s="36" t="str">
        <f t="shared" si="11"/>
        <v/>
      </c>
      <c r="AL108" t="str">
        <f t="shared" si="19"/>
        <v/>
      </c>
      <c r="AM108" t="s">
        <v>393</v>
      </c>
      <c r="AN108">
        <f t="shared" si="12"/>
        <v>33</v>
      </c>
      <c r="AO108" t="str">
        <f t="shared" si="13"/>
        <v>24.4.---7.5.---27.5.</v>
      </c>
      <c r="AP108" t="str">
        <f t="shared" si="14"/>
        <v>Luhtahuitti</v>
      </c>
      <c r="AQ108" t="str">
        <f t="shared" si="20"/>
        <v>(24.4.---7.5.---27.5.)</v>
      </c>
    </row>
    <row r="109" spans="1:43" x14ac:dyDescent="0.2">
      <c r="A109" s="1"/>
      <c r="B109" s="9">
        <f t="shared" si="21"/>
        <v>105</v>
      </c>
      <c r="C109" s="10"/>
      <c r="D109" s="13" t="s">
        <v>103</v>
      </c>
      <c r="E109" s="14"/>
      <c r="F109" s="11"/>
      <c r="G109" s="12"/>
      <c r="H109" s="11"/>
      <c r="I109" s="12"/>
      <c r="J109" s="11">
        <v>43624</v>
      </c>
      <c r="K109" s="12"/>
      <c r="L109" s="11"/>
      <c r="M109" s="12"/>
      <c r="N109" s="11"/>
      <c r="O109" s="12"/>
      <c r="P109" s="11"/>
      <c r="Q109" s="12"/>
      <c r="R109" s="11"/>
      <c r="S109" s="12"/>
      <c r="T109" s="11"/>
      <c r="U109" s="12">
        <v>43630</v>
      </c>
      <c r="V109" s="11"/>
      <c r="W109" s="12"/>
      <c r="X109" s="11"/>
      <c r="Y109" s="12"/>
      <c r="Z109" s="11"/>
      <c r="AA109" s="12"/>
      <c r="AB109" s="11">
        <v>43639</v>
      </c>
      <c r="AC109" s="12"/>
      <c r="AD109" s="34"/>
      <c r="AE109" s="33">
        <f t="shared" si="16"/>
        <v>43624</v>
      </c>
      <c r="AF109" s="33">
        <f t="shared" si="17"/>
        <v>43627</v>
      </c>
      <c r="AG109" s="33">
        <f t="shared" si="18"/>
        <v>43630</v>
      </c>
      <c r="AH109">
        <v>132</v>
      </c>
      <c r="AK109" s="36" t="str">
        <f t="shared" si="11"/>
        <v/>
      </c>
      <c r="AL109" t="str">
        <f t="shared" si="19"/>
        <v/>
      </c>
      <c r="AM109" t="s">
        <v>393</v>
      </c>
      <c r="AN109">
        <f t="shared" si="12"/>
        <v>6</v>
      </c>
      <c r="AO109" t="str">
        <f t="shared" si="13"/>
        <v>8.6.---11.6.---14.6.</v>
      </c>
      <c r="AP109" t="str">
        <f t="shared" si="14"/>
        <v>Pikkuhuitti</v>
      </c>
      <c r="AQ109" t="str">
        <f t="shared" si="20"/>
        <v>(8.6.---11.6.---14.6.)</v>
      </c>
    </row>
    <row r="110" spans="1:43" x14ac:dyDescent="0.2">
      <c r="A110" s="1"/>
      <c r="B110" s="9">
        <f t="shared" si="21"/>
        <v>106</v>
      </c>
      <c r="C110" s="10"/>
      <c r="D110" s="9" t="s">
        <v>104</v>
      </c>
      <c r="E110" s="10"/>
      <c r="F110" s="11">
        <v>43599</v>
      </c>
      <c r="G110" s="12">
        <v>43601</v>
      </c>
      <c r="H110" s="11">
        <v>43604</v>
      </c>
      <c r="I110" s="12">
        <v>43610</v>
      </c>
      <c r="J110" s="11">
        <v>43618</v>
      </c>
      <c r="K110" s="12">
        <v>43612</v>
      </c>
      <c r="L110" s="11">
        <v>43607</v>
      </c>
      <c r="M110" s="12">
        <v>43606</v>
      </c>
      <c r="N110" s="11">
        <v>43615</v>
      </c>
      <c r="O110" s="12">
        <v>43608</v>
      </c>
      <c r="P110" s="11">
        <v>43603</v>
      </c>
      <c r="Q110" s="12">
        <v>43614</v>
      </c>
      <c r="R110" s="11">
        <v>43612</v>
      </c>
      <c r="S110" s="12">
        <v>43602</v>
      </c>
      <c r="T110" s="11">
        <v>43596</v>
      </c>
      <c r="U110" s="12">
        <v>43579</v>
      </c>
      <c r="V110" s="11">
        <v>43607</v>
      </c>
      <c r="W110" s="12">
        <v>43621</v>
      </c>
      <c r="X110" s="11">
        <v>43604</v>
      </c>
      <c r="Y110" s="12">
        <v>43609</v>
      </c>
      <c r="Z110" s="11">
        <v>43612</v>
      </c>
      <c r="AA110" s="12">
        <v>43615</v>
      </c>
      <c r="AB110" s="11">
        <v>43606</v>
      </c>
      <c r="AC110" s="12">
        <v>43604</v>
      </c>
      <c r="AD110" s="34"/>
      <c r="AE110" s="33">
        <f t="shared" si="16"/>
        <v>43579</v>
      </c>
      <c r="AF110" s="33">
        <f t="shared" si="17"/>
        <v>43607</v>
      </c>
      <c r="AG110" s="33">
        <f t="shared" si="18"/>
        <v>43621</v>
      </c>
      <c r="AH110">
        <v>134</v>
      </c>
      <c r="AK110" s="36" t="str">
        <f t="shared" si="11"/>
        <v/>
      </c>
      <c r="AL110" t="str">
        <f t="shared" si="19"/>
        <v/>
      </c>
      <c r="AM110" t="s">
        <v>393</v>
      </c>
      <c r="AN110">
        <f t="shared" si="12"/>
        <v>42</v>
      </c>
      <c r="AO110" t="str">
        <f t="shared" si="13"/>
        <v>24.4.---22.5.---5.6.</v>
      </c>
      <c r="AP110" t="str">
        <f t="shared" si="14"/>
        <v>Ruisrääkkä</v>
      </c>
      <c r="AQ110" t="str">
        <f t="shared" si="20"/>
        <v>(24.4.---22.5.---5.6.)</v>
      </c>
    </row>
    <row r="111" spans="1:43" x14ac:dyDescent="0.2">
      <c r="A111" s="1"/>
      <c r="B111" s="9">
        <f t="shared" si="21"/>
        <v>107</v>
      </c>
      <c r="C111" s="10"/>
      <c r="D111" s="9" t="s">
        <v>105</v>
      </c>
      <c r="E111" s="10"/>
      <c r="F111" s="11"/>
      <c r="G111" s="12"/>
      <c r="H111" s="11"/>
      <c r="I111" s="12">
        <v>43583</v>
      </c>
      <c r="J111" s="11">
        <v>43580</v>
      </c>
      <c r="K111" s="12">
        <v>43573</v>
      </c>
      <c r="L111" s="11">
        <v>43614</v>
      </c>
      <c r="M111" s="12">
        <v>43619</v>
      </c>
      <c r="N111" s="11">
        <v>43593</v>
      </c>
      <c r="O111" s="12">
        <v>43566</v>
      </c>
      <c r="P111" s="11">
        <v>43565</v>
      </c>
      <c r="Q111" s="12">
        <v>43562</v>
      </c>
      <c r="R111" s="11">
        <v>43567</v>
      </c>
      <c r="S111" s="12">
        <v>43577</v>
      </c>
      <c r="T111" s="11">
        <v>43587</v>
      </c>
      <c r="U111" s="12">
        <f>IF(AG1,DATE(2019,1,1),DATE(2019,5,20))</f>
        <v>43605</v>
      </c>
      <c r="V111" s="11">
        <v>43466</v>
      </c>
      <c r="W111" s="12"/>
      <c r="X111" s="11">
        <v>43758</v>
      </c>
      <c r="Y111" s="12">
        <v>43580</v>
      </c>
      <c r="Z111" s="11">
        <v>43754</v>
      </c>
      <c r="AA111" s="12">
        <f>IF(AG1,DATE(2019,1,3),DATE(2019,4,25))</f>
        <v>43580</v>
      </c>
      <c r="AB111" s="11">
        <v>43581</v>
      </c>
      <c r="AC111" s="12">
        <v>43574</v>
      </c>
      <c r="AD111" s="34"/>
      <c r="AE111" s="33">
        <f t="shared" si="16"/>
        <v>43466</v>
      </c>
      <c r="AF111" s="33">
        <f t="shared" si="17"/>
        <v>43580</v>
      </c>
      <c r="AG111" s="33">
        <f t="shared" si="18"/>
        <v>43758</v>
      </c>
      <c r="AH111">
        <v>135</v>
      </c>
      <c r="AK111" s="36" t="str">
        <f t="shared" si="11"/>
        <v/>
      </c>
      <c r="AL111">
        <f t="shared" si="19"/>
        <v>1</v>
      </c>
      <c r="AM111">
        <v>2</v>
      </c>
      <c r="AN111">
        <f t="shared" si="12"/>
        <v>292</v>
      </c>
      <c r="AO111" t="str">
        <f t="shared" si="13"/>
        <v>1.1.---25.4.---20.10.</v>
      </c>
      <c r="AP111" t="str">
        <f t="shared" si="14"/>
        <v>Liejukana</v>
      </c>
      <c r="AQ111" t="str">
        <f t="shared" si="20"/>
        <v>(1.1.---25.4.---20.10., 2/21)</v>
      </c>
    </row>
    <row r="112" spans="1:43" x14ac:dyDescent="0.2">
      <c r="A112" s="1"/>
      <c r="B112" s="9">
        <f t="shared" si="21"/>
        <v>108</v>
      </c>
      <c r="C112" s="10"/>
      <c r="D112" s="9" t="s">
        <v>106</v>
      </c>
      <c r="E112" s="10"/>
      <c r="F112" s="11">
        <v>43565</v>
      </c>
      <c r="G112" s="12">
        <v>43555</v>
      </c>
      <c r="H112" s="11">
        <v>43557</v>
      </c>
      <c r="I112" s="12">
        <v>43535</v>
      </c>
      <c r="J112" s="11">
        <v>43559</v>
      </c>
      <c r="K112" s="12">
        <v>43558</v>
      </c>
      <c r="L112" s="11">
        <v>43561</v>
      </c>
      <c r="M112" s="12">
        <v>43555</v>
      </c>
      <c r="N112" s="11">
        <v>43559</v>
      </c>
      <c r="O112" s="12">
        <v>43561</v>
      </c>
      <c r="P112" s="11">
        <v>43561</v>
      </c>
      <c r="Q112" s="12">
        <v>43564</v>
      </c>
      <c r="R112" s="11">
        <v>43566</v>
      </c>
      <c r="S112" s="12">
        <v>43567</v>
      </c>
      <c r="T112" s="11">
        <v>43559</v>
      </c>
      <c r="U112" s="12">
        <v>43563</v>
      </c>
      <c r="V112" s="11">
        <v>43559</v>
      </c>
      <c r="W112" s="12">
        <v>43561</v>
      </c>
      <c r="X112" s="11">
        <v>43576</v>
      </c>
      <c r="Y112" s="12">
        <v>43571</v>
      </c>
      <c r="Z112" s="11">
        <v>43563</v>
      </c>
      <c r="AA112" s="12">
        <v>43567</v>
      </c>
      <c r="AB112" s="11">
        <v>43567</v>
      </c>
      <c r="AC112" s="12">
        <v>43568</v>
      </c>
      <c r="AD112" s="34"/>
      <c r="AE112" s="33">
        <f t="shared" si="16"/>
        <v>43535</v>
      </c>
      <c r="AF112" s="33">
        <f t="shared" si="17"/>
        <v>43561</v>
      </c>
      <c r="AG112" s="33">
        <f t="shared" si="18"/>
        <v>43576</v>
      </c>
      <c r="AH112">
        <v>137</v>
      </c>
      <c r="AK112" s="36" t="str">
        <f t="shared" si="11"/>
        <v/>
      </c>
      <c r="AL112" t="str">
        <f t="shared" si="19"/>
        <v/>
      </c>
      <c r="AM112" t="s">
        <v>393</v>
      </c>
      <c r="AN112">
        <f t="shared" si="12"/>
        <v>41</v>
      </c>
      <c r="AO112" t="str">
        <f t="shared" si="13"/>
        <v>11.3.---6.4.---21.4.</v>
      </c>
      <c r="AP112" t="str">
        <f t="shared" si="14"/>
        <v>Nokikana</v>
      </c>
      <c r="AQ112" t="str">
        <f t="shared" si="20"/>
        <v>(11.3.---6.4.---21.4.)</v>
      </c>
    </row>
    <row r="113" spans="1:43" x14ac:dyDescent="0.2">
      <c r="A113" s="1"/>
      <c r="B113" s="9">
        <f t="shared" si="21"/>
        <v>109</v>
      </c>
      <c r="C113" s="10"/>
      <c r="D113" s="9" t="s">
        <v>107</v>
      </c>
      <c r="E113" s="10"/>
      <c r="F113" s="11">
        <v>43562</v>
      </c>
      <c r="G113" s="12">
        <v>43560</v>
      </c>
      <c r="H113" s="11">
        <v>43551</v>
      </c>
      <c r="I113" s="12">
        <v>43549</v>
      </c>
      <c r="J113" s="11">
        <v>43558</v>
      </c>
      <c r="K113" s="12">
        <v>43558</v>
      </c>
      <c r="L113" s="11">
        <v>43562</v>
      </c>
      <c r="M113" s="12">
        <v>43552</v>
      </c>
      <c r="N113" s="11">
        <v>43554</v>
      </c>
      <c r="O113" s="12">
        <f>IF(AG1,DATE(2019,1,2),DATE(2019,3,30))</f>
        <v>43554</v>
      </c>
      <c r="P113" s="11">
        <v>43556</v>
      </c>
      <c r="Q113" s="12">
        <f>IF(AG1,DATE(2019,1,1),DATE(2019,4,2))</f>
        <v>43557</v>
      </c>
      <c r="R113" s="11">
        <v>43552</v>
      </c>
      <c r="S113" s="12">
        <v>43567</v>
      </c>
      <c r="T113" s="11">
        <v>43534</v>
      </c>
      <c r="U113" s="12">
        <v>43538</v>
      </c>
      <c r="V113" s="11">
        <v>43534</v>
      </c>
      <c r="W113" s="12">
        <v>43550</v>
      </c>
      <c r="X113" s="11">
        <f>IF(AG1,DATE(2019,1,3),DATE(2019,4,5))</f>
        <v>43560</v>
      </c>
      <c r="Y113" s="12">
        <v>43554</v>
      </c>
      <c r="Z113" s="11">
        <v>43547</v>
      </c>
      <c r="AA113" s="12">
        <v>43552</v>
      </c>
      <c r="AB113" s="11">
        <f>IF(AF1,DATE(2019,1,1),DATE(2019,4,1))</f>
        <v>43556</v>
      </c>
      <c r="AC113" s="12">
        <v>43562</v>
      </c>
      <c r="AD113" s="34"/>
      <c r="AE113" s="33">
        <f t="shared" si="16"/>
        <v>43534</v>
      </c>
      <c r="AF113" s="33">
        <f t="shared" si="17"/>
        <v>43554</v>
      </c>
      <c r="AG113" s="33">
        <f t="shared" si="18"/>
        <v>43567</v>
      </c>
      <c r="AH113">
        <v>138</v>
      </c>
      <c r="AK113" s="36" t="str">
        <f t="shared" si="11"/>
        <v/>
      </c>
      <c r="AL113" t="str">
        <f t="shared" si="19"/>
        <v/>
      </c>
      <c r="AM113">
        <v>3</v>
      </c>
      <c r="AN113">
        <f t="shared" si="12"/>
        <v>33</v>
      </c>
      <c r="AO113" t="str">
        <f t="shared" si="13"/>
        <v>10.3.---30.3.---12.4.</v>
      </c>
      <c r="AP113" t="str">
        <f t="shared" si="14"/>
        <v>Kurki</v>
      </c>
      <c r="AQ113" t="str">
        <f t="shared" si="20"/>
        <v>(10.3.---30.3.---12.4., 3/21)</v>
      </c>
    </row>
    <row r="114" spans="1:43" x14ac:dyDescent="0.2">
      <c r="A114" s="1"/>
      <c r="B114" s="9">
        <f t="shared" si="21"/>
        <v>110</v>
      </c>
      <c r="C114" s="10"/>
      <c r="D114" s="15" t="s">
        <v>108</v>
      </c>
      <c r="E114" s="16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>
        <v>43592</v>
      </c>
      <c r="T114" s="11"/>
      <c r="U114" s="12"/>
      <c r="V114" s="11"/>
      <c r="W114" s="12"/>
      <c r="X114" s="11"/>
      <c r="Y114" s="12"/>
      <c r="Z114" s="11"/>
      <c r="AA114" s="12">
        <v>43743</v>
      </c>
      <c r="AB114" s="11">
        <v>43725</v>
      </c>
      <c r="AC114" s="12"/>
      <c r="AD114" s="34"/>
      <c r="AE114" s="33">
        <f t="shared" si="16"/>
        <v>43592</v>
      </c>
      <c r="AF114" s="33">
        <f t="shared" si="17"/>
        <v>43592</v>
      </c>
      <c r="AG114" s="33">
        <f t="shared" si="18"/>
        <v>43592</v>
      </c>
      <c r="AH114">
        <v>139</v>
      </c>
      <c r="AK114" s="36" t="str">
        <f t="shared" si="11"/>
        <v/>
      </c>
      <c r="AL114" t="str">
        <f t="shared" si="19"/>
        <v/>
      </c>
      <c r="AM114" t="s">
        <v>393</v>
      </c>
      <c r="AN114">
        <f t="shared" si="12"/>
        <v>0</v>
      </c>
      <c r="AO114" t="str">
        <f t="shared" si="13"/>
        <v>7.5.---7.5.---7.5.</v>
      </c>
      <c r="AP114" t="str">
        <f t="shared" si="14"/>
        <v>Hietakurki</v>
      </c>
      <c r="AQ114" t="str">
        <f t="shared" si="20"/>
        <v>(7.5.---7.5.---7.5.)</v>
      </c>
    </row>
    <row r="115" spans="1:43" x14ac:dyDescent="0.2">
      <c r="A115" s="1"/>
      <c r="B115" s="9">
        <f t="shared" si="21"/>
        <v>111</v>
      </c>
      <c r="C115" s="10"/>
      <c r="D115" s="15" t="s">
        <v>109</v>
      </c>
      <c r="E115" s="16"/>
      <c r="F115" s="11"/>
      <c r="G115" s="12"/>
      <c r="H115" s="11"/>
      <c r="I115" s="12"/>
      <c r="J115" s="11"/>
      <c r="K115" s="12"/>
      <c r="L115" s="11"/>
      <c r="M115" s="12"/>
      <c r="N115" s="11"/>
      <c r="O115" s="12">
        <v>43616</v>
      </c>
      <c r="P115" s="11"/>
      <c r="Q115" s="12"/>
      <c r="R115" s="11"/>
      <c r="S115" s="12"/>
      <c r="T115" s="11"/>
      <c r="U115" s="12">
        <v>43572</v>
      </c>
      <c r="V115" s="11"/>
      <c r="W115" s="12"/>
      <c r="X115" s="11"/>
      <c r="Y115" s="12"/>
      <c r="Z115" s="11"/>
      <c r="AA115" s="12"/>
      <c r="AB115" s="11"/>
      <c r="AC115" s="12"/>
      <c r="AD115" s="34"/>
      <c r="AE115" s="33">
        <f t="shared" si="16"/>
        <v>43572</v>
      </c>
      <c r="AF115" s="33">
        <f t="shared" si="17"/>
        <v>43594</v>
      </c>
      <c r="AG115" s="33">
        <f t="shared" si="18"/>
        <v>43616</v>
      </c>
      <c r="AH115">
        <v>140</v>
      </c>
      <c r="AK115" s="36" t="str">
        <f t="shared" si="11"/>
        <v/>
      </c>
      <c r="AL115" t="str">
        <f t="shared" si="19"/>
        <v/>
      </c>
      <c r="AM115" t="s">
        <v>393</v>
      </c>
      <c r="AN115">
        <f t="shared" si="12"/>
        <v>44</v>
      </c>
      <c r="AO115" t="str">
        <f t="shared" si="13"/>
        <v>17.4.---9.5.---31.5.</v>
      </c>
      <c r="AP115" t="str">
        <f t="shared" si="14"/>
        <v>Neitokurki</v>
      </c>
      <c r="AQ115" t="str">
        <f t="shared" si="20"/>
        <v>(17.4.---9.5.---31.5.)</v>
      </c>
    </row>
    <row r="116" spans="1:43" x14ac:dyDescent="0.2">
      <c r="A116" s="1"/>
      <c r="B116" s="9">
        <f t="shared" si="21"/>
        <v>112</v>
      </c>
      <c r="C116" s="10"/>
      <c r="D116" s="15" t="s">
        <v>110</v>
      </c>
      <c r="E116" s="16"/>
      <c r="F116" s="11"/>
      <c r="G116" s="12"/>
      <c r="H116" s="11"/>
      <c r="I116" s="12"/>
      <c r="J116" s="11"/>
      <c r="K116" s="12"/>
      <c r="L116" s="11"/>
      <c r="M116" s="12"/>
      <c r="N116" s="11"/>
      <c r="O116" s="12"/>
      <c r="P116" s="11"/>
      <c r="Q116" s="12"/>
      <c r="R116" s="11"/>
      <c r="S116" s="12"/>
      <c r="T116" s="11"/>
      <c r="U116" s="12"/>
      <c r="V116" s="11"/>
      <c r="W116" s="12"/>
      <c r="X116" s="11"/>
      <c r="Y116" s="12"/>
      <c r="Z116" s="11"/>
      <c r="AA116" s="12"/>
      <c r="AB116" s="11"/>
      <c r="AC116" s="12"/>
      <c r="AD116" s="34"/>
      <c r="AE116" s="33" t="str">
        <f t="shared" si="16"/>
        <v/>
      </c>
      <c r="AF116" s="33" t="str">
        <f t="shared" si="17"/>
        <v/>
      </c>
      <c r="AG116" s="33" t="str">
        <f t="shared" si="18"/>
        <v/>
      </c>
      <c r="AH116">
        <v>143</v>
      </c>
      <c r="AK116" s="36" t="str">
        <f t="shared" si="11"/>
        <v/>
      </c>
      <c r="AL116" t="str">
        <f t="shared" si="19"/>
        <v/>
      </c>
      <c r="AM116" t="s">
        <v>393</v>
      </c>
      <c r="AN116" t="e">
        <f t="shared" si="12"/>
        <v>#VALUE!</v>
      </c>
      <c r="AO116" t="str">
        <f t="shared" si="13"/>
        <v>------</v>
      </c>
      <c r="AP116" t="str">
        <f t="shared" si="14"/>
        <v>Isotrappi</v>
      </c>
      <c r="AQ116" t="str">
        <f t="shared" si="20"/>
        <v>(------)</v>
      </c>
    </row>
    <row r="117" spans="1:43" x14ac:dyDescent="0.2">
      <c r="A117" s="1"/>
      <c r="B117" s="9">
        <f t="shared" si="21"/>
        <v>113</v>
      </c>
      <c r="C117" s="10"/>
      <c r="D117" s="15" t="s">
        <v>111</v>
      </c>
      <c r="E117" s="16"/>
      <c r="F117" s="11"/>
      <c r="G117" s="12"/>
      <c r="H117" s="11"/>
      <c r="I117" s="12"/>
      <c r="J117" s="11"/>
      <c r="K117" s="12"/>
      <c r="L117" s="11"/>
      <c r="M117" s="12"/>
      <c r="N117" s="11"/>
      <c r="O117" s="12"/>
      <c r="P117" s="11"/>
      <c r="Q117" s="12"/>
      <c r="R117" s="11"/>
      <c r="S117" s="12"/>
      <c r="T117" s="11"/>
      <c r="U117" s="12"/>
      <c r="V117" s="11"/>
      <c r="W117" s="12"/>
      <c r="X117" s="11"/>
      <c r="Y117" s="12"/>
      <c r="Z117" s="11"/>
      <c r="AA117" s="12"/>
      <c r="AB117" s="11"/>
      <c r="AC117" s="12"/>
      <c r="AD117" s="34"/>
      <c r="AE117" s="33" t="str">
        <f t="shared" si="16"/>
        <v/>
      </c>
      <c r="AF117" s="33" t="str">
        <f t="shared" si="17"/>
        <v/>
      </c>
      <c r="AG117" s="33" t="str">
        <f t="shared" si="18"/>
        <v/>
      </c>
      <c r="AH117">
        <v>144</v>
      </c>
      <c r="AK117" s="36" t="str">
        <f t="shared" si="11"/>
        <v/>
      </c>
      <c r="AL117" t="str">
        <f t="shared" si="19"/>
        <v/>
      </c>
      <c r="AM117" t="s">
        <v>393</v>
      </c>
      <c r="AN117" t="e">
        <f t="shared" si="12"/>
        <v>#VALUE!</v>
      </c>
      <c r="AO117" t="str">
        <f t="shared" si="13"/>
        <v>------</v>
      </c>
      <c r="AP117" t="str">
        <f t="shared" si="14"/>
        <v>Paksujalka</v>
      </c>
      <c r="AQ117" t="str">
        <f t="shared" si="20"/>
        <v>(------)</v>
      </c>
    </row>
    <row r="118" spans="1:43" x14ac:dyDescent="0.2">
      <c r="A118" s="1"/>
      <c r="B118" s="9">
        <f t="shared" si="21"/>
        <v>114</v>
      </c>
      <c r="C118" s="10"/>
      <c r="D118" s="15" t="s">
        <v>112</v>
      </c>
      <c r="E118" s="16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>
        <v>43625</v>
      </c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34"/>
      <c r="AE118" s="33">
        <f t="shared" si="16"/>
        <v>43625</v>
      </c>
      <c r="AF118" s="33">
        <f t="shared" si="17"/>
        <v>43625</v>
      </c>
      <c r="AG118" s="33">
        <f t="shared" si="18"/>
        <v>43625</v>
      </c>
      <c r="AH118">
        <v>145</v>
      </c>
      <c r="AK118" s="36" t="str">
        <f t="shared" si="11"/>
        <v/>
      </c>
      <c r="AL118" t="str">
        <f t="shared" si="19"/>
        <v/>
      </c>
      <c r="AM118" t="s">
        <v>393</v>
      </c>
      <c r="AN118">
        <f t="shared" si="12"/>
        <v>0</v>
      </c>
      <c r="AO118" t="str">
        <f t="shared" si="13"/>
        <v>9.6.---9.6.---9.6.</v>
      </c>
      <c r="AP118" t="str">
        <f t="shared" si="14"/>
        <v>Pitkäjalka</v>
      </c>
      <c r="AQ118" t="str">
        <f t="shared" si="20"/>
        <v>(9.6.---9.6.---9.6.)</v>
      </c>
    </row>
    <row r="119" spans="1:43" x14ac:dyDescent="0.2">
      <c r="A119" s="1"/>
      <c r="B119" s="9">
        <f t="shared" si="21"/>
        <v>115</v>
      </c>
      <c r="C119" s="10"/>
      <c r="D119" s="9" t="s">
        <v>113</v>
      </c>
      <c r="E119" s="10"/>
      <c r="F119" s="11"/>
      <c r="G119" s="12"/>
      <c r="H119" s="11"/>
      <c r="I119" s="12">
        <v>43596</v>
      </c>
      <c r="J119" s="11">
        <v>43591</v>
      </c>
      <c r="K119" s="12">
        <v>43589</v>
      </c>
      <c r="L119" s="11">
        <v>43593</v>
      </c>
      <c r="M119" s="12"/>
      <c r="N119" s="11">
        <v>43587</v>
      </c>
      <c r="O119" s="12"/>
      <c r="P119" s="11"/>
      <c r="Q119" s="12"/>
      <c r="R119" s="11">
        <v>43635</v>
      </c>
      <c r="S119" s="12"/>
      <c r="T119" s="11">
        <v>43597</v>
      </c>
      <c r="U119" s="12"/>
      <c r="V119" s="11">
        <v>43583</v>
      </c>
      <c r="W119" s="12">
        <v>43574</v>
      </c>
      <c r="X119" s="11">
        <v>43597</v>
      </c>
      <c r="Y119" s="12"/>
      <c r="Z119" s="11">
        <v>43588</v>
      </c>
      <c r="AA119" s="12">
        <v>43699</v>
      </c>
      <c r="AB119" s="11"/>
      <c r="AC119" s="12"/>
      <c r="AD119" s="34"/>
      <c r="AE119" s="33">
        <f t="shared" si="16"/>
        <v>43574</v>
      </c>
      <c r="AF119" s="33">
        <f t="shared" si="17"/>
        <v>43591</v>
      </c>
      <c r="AG119" s="33">
        <f t="shared" si="18"/>
        <v>43635</v>
      </c>
      <c r="AH119">
        <v>146</v>
      </c>
      <c r="AK119" s="36" t="str">
        <f t="shared" si="11"/>
        <v/>
      </c>
      <c r="AL119" t="str">
        <f t="shared" si="19"/>
        <v/>
      </c>
      <c r="AM119" t="s">
        <v>393</v>
      </c>
      <c r="AN119">
        <f t="shared" si="12"/>
        <v>61</v>
      </c>
      <c r="AO119" t="str">
        <f t="shared" si="13"/>
        <v>19.4.---6.5.---19.6.</v>
      </c>
      <c r="AP119" t="str">
        <f t="shared" si="14"/>
        <v>Avosetti</v>
      </c>
      <c r="AQ119" t="str">
        <f t="shared" si="20"/>
        <v>(19.4.---6.5.---19.6.)</v>
      </c>
    </row>
    <row r="120" spans="1:43" x14ac:dyDescent="0.2">
      <c r="A120" s="1"/>
      <c r="B120" s="9">
        <f t="shared" si="21"/>
        <v>116</v>
      </c>
      <c r="C120" s="10"/>
      <c r="D120" s="9" t="s">
        <v>114</v>
      </c>
      <c r="E120" s="10"/>
      <c r="F120" s="11">
        <v>43566</v>
      </c>
      <c r="G120" s="12">
        <v>43577</v>
      </c>
      <c r="H120" s="11">
        <v>43574</v>
      </c>
      <c r="I120" s="12">
        <v>43570</v>
      </c>
      <c r="J120" s="11">
        <v>43569</v>
      </c>
      <c r="K120" s="12">
        <v>43561</v>
      </c>
      <c r="L120" s="11">
        <v>43572</v>
      </c>
      <c r="M120" s="12">
        <v>43565</v>
      </c>
      <c r="N120" s="11">
        <v>43563</v>
      </c>
      <c r="O120" s="12">
        <v>43568</v>
      </c>
      <c r="P120" s="11">
        <v>43563</v>
      </c>
      <c r="Q120" s="12">
        <v>43560</v>
      </c>
      <c r="R120" s="11">
        <v>43567</v>
      </c>
      <c r="S120" s="12">
        <v>43569</v>
      </c>
      <c r="T120" s="11">
        <v>43560</v>
      </c>
      <c r="U120" s="12">
        <v>43563</v>
      </c>
      <c r="V120" s="11">
        <v>43561</v>
      </c>
      <c r="W120" s="12">
        <v>43565</v>
      </c>
      <c r="X120" s="11">
        <v>43573</v>
      </c>
      <c r="Y120" s="12">
        <v>43570</v>
      </c>
      <c r="Z120" s="11">
        <v>43559</v>
      </c>
      <c r="AA120" s="12">
        <v>43569</v>
      </c>
      <c r="AB120" s="11">
        <v>43567</v>
      </c>
      <c r="AC120" s="12">
        <v>43566</v>
      </c>
      <c r="AD120" s="34"/>
      <c r="AE120" s="33">
        <f t="shared" si="16"/>
        <v>43559</v>
      </c>
      <c r="AF120" s="33">
        <f t="shared" si="17"/>
        <v>43566</v>
      </c>
      <c r="AG120" s="33">
        <f t="shared" si="18"/>
        <v>43577</v>
      </c>
      <c r="AH120">
        <v>147</v>
      </c>
      <c r="AK120" s="36" t="str">
        <f t="shared" si="11"/>
        <v/>
      </c>
      <c r="AL120" t="str">
        <f t="shared" si="19"/>
        <v/>
      </c>
      <c r="AM120" t="s">
        <v>393</v>
      </c>
      <c r="AN120">
        <f t="shared" si="12"/>
        <v>18</v>
      </c>
      <c r="AO120" t="str">
        <f t="shared" si="13"/>
        <v>4.4.---11.4.---22.4.</v>
      </c>
      <c r="AP120" t="str">
        <f t="shared" si="14"/>
        <v>Meriharakka</v>
      </c>
      <c r="AQ120" t="str">
        <f t="shared" si="20"/>
        <v>(4.4.---11.4.---22.4.)</v>
      </c>
    </row>
    <row r="121" spans="1:43" x14ac:dyDescent="0.2">
      <c r="A121" s="1"/>
      <c r="B121" s="9">
        <f t="shared" si="21"/>
        <v>117</v>
      </c>
      <c r="C121" s="10"/>
      <c r="D121" s="15" t="s">
        <v>115</v>
      </c>
      <c r="E121" s="16"/>
      <c r="F121" s="11"/>
      <c r="G121" s="12"/>
      <c r="H121" s="11"/>
      <c r="I121" s="12"/>
      <c r="J121" s="11">
        <v>43725</v>
      </c>
      <c r="K121" s="12"/>
      <c r="L121" s="11"/>
      <c r="M121" s="12"/>
      <c r="N121" s="11"/>
      <c r="O121" s="12"/>
      <c r="P121" s="11"/>
      <c r="Q121" s="12"/>
      <c r="R121" s="11"/>
      <c r="S121" s="12"/>
      <c r="T121" s="11"/>
      <c r="U121" s="12"/>
      <c r="V121" s="11"/>
      <c r="W121" s="12"/>
      <c r="X121" s="11"/>
      <c r="Y121" s="12"/>
      <c r="Z121" s="11"/>
      <c r="AA121" s="12"/>
      <c r="AB121" s="11">
        <v>43748</v>
      </c>
      <c r="AC121" s="12"/>
      <c r="AD121" s="34"/>
      <c r="AE121" s="33">
        <f t="shared" si="16"/>
        <v>43725</v>
      </c>
      <c r="AF121" s="33">
        <f t="shared" si="17"/>
        <v>43725</v>
      </c>
      <c r="AG121" s="33">
        <f t="shared" si="18"/>
        <v>43725</v>
      </c>
      <c r="AH121">
        <v>148</v>
      </c>
      <c r="AK121" s="36" t="str">
        <f t="shared" si="11"/>
        <v/>
      </c>
      <c r="AL121" t="str">
        <f t="shared" si="19"/>
        <v/>
      </c>
      <c r="AM121" t="s">
        <v>393</v>
      </c>
      <c r="AN121">
        <f t="shared" si="12"/>
        <v>0</v>
      </c>
      <c r="AO121" t="str">
        <f t="shared" si="13"/>
        <v>17.9.---17.9.---17.9.</v>
      </c>
      <c r="AP121" t="str">
        <f t="shared" si="14"/>
        <v>Siperiankurmitsa</v>
      </c>
      <c r="AQ121" t="str">
        <f t="shared" si="20"/>
        <v>(17.9.---17.9.---17.9.)</v>
      </c>
    </row>
    <row r="122" spans="1:43" x14ac:dyDescent="0.2">
      <c r="A122" s="1"/>
      <c r="B122" s="9">
        <f t="shared" si="21"/>
        <v>118</v>
      </c>
      <c r="C122" s="10"/>
      <c r="D122" s="15" t="s">
        <v>116</v>
      </c>
      <c r="E122" s="16"/>
      <c r="F122" s="11"/>
      <c r="G122" s="12"/>
      <c r="H122" s="11"/>
      <c r="I122" s="12"/>
      <c r="J122" s="11"/>
      <c r="K122" s="12"/>
      <c r="L122" s="11"/>
      <c r="M122" s="12"/>
      <c r="N122" s="11"/>
      <c r="O122" s="12">
        <v>43756</v>
      </c>
      <c r="P122" s="11"/>
      <c r="Q122" s="12"/>
      <c r="R122" s="11"/>
      <c r="S122" s="12">
        <v>43730</v>
      </c>
      <c r="T122" s="11"/>
      <c r="U122" s="12"/>
      <c r="V122" s="11"/>
      <c r="W122" s="12"/>
      <c r="X122" s="11"/>
      <c r="Y122" s="12">
        <v>43754</v>
      </c>
      <c r="Z122" s="11"/>
      <c r="AA122" s="12"/>
      <c r="AB122" s="11"/>
      <c r="AC122" s="12"/>
      <c r="AD122" s="34"/>
      <c r="AE122" s="33">
        <f t="shared" si="16"/>
        <v>43730</v>
      </c>
      <c r="AF122" s="33">
        <f t="shared" si="17"/>
        <v>43754</v>
      </c>
      <c r="AG122" s="33">
        <f t="shared" si="18"/>
        <v>43756</v>
      </c>
      <c r="AH122">
        <v>149</v>
      </c>
      <c r="AK122" s="36" t="str">
        <f t="shared" si="11"/>
        <v/>
      </c>
      <c r="AL122" t="str">
        <f t="shared" si="19"/>
        <v/>
      </c>
      <c r="AM122" t="s">
        <v>393</v>
      </c>
      <c r="AN122">
        <f t="shared" si="12"/>
        <v>26</v>
      </c>
      <c r="AO122" t="str">
        <f t="shared" si="13"/>
        <v>22.9.---16.10.---18.10.</v>
      </c>
      <c r="AP122" t="str">
        <f t="shared" si="14"/>
        <v>Amerikankurmitsa</v>
      </c>
      <c r="AQ122" t="str">
        <f t="shared" si="20"/>
        <v>(22.9.---16.10.---18.10.)</v>
      </c>
    </row>
    <row r="123" spans="1:43" x14ac:dyDescent="0.2">
      <c r="A123" s="1"/>
      <c r="B123" s="9"/>
      <c r="C123" s="10"/>
      <c r="D123" s="15" t="s">
        <v>117</v>
      </c>
      <c r="E123" s="16"/>
      <c r="F123" s="11"/>
      <c r="G123" s="12"/>
      <c r="H123" s="11"/>
      <c r="I123" s="12"/>
      <c r="J123" s="11"/>
      <c r="K123" s="12"/>
      <c r="L123" s="11"/>
      <c r="M123" s="12"/>
      <c r="N123" s="11"/>
      <c r="O123" s="12"/>
      <c r="P123" s="11"/>
      <c r="Q123" s="12"/>
      <c r="R123" s="11"/>
      <c r="S123" s="12"/>
      <c r="T123" s="11"/>
      <c r="U123" s="12"/>
      <c r="V123" s="11"/>
      <c r="W123" s="12"/>
      <c r="X123" s="11"/>
      <c r="Y123" s="12"/>
      <c r="Z123" s="11"/>
      <c r="AA123" s="12"/>
      <c r="AB123" s="11"/>
      <c r="AC123" s="12"/>
      <c r="AD123" s="34"/>
      <c r="AE123" s="33" t="str">
        <f t="shared" si="16"/>
        <v/>
      </c>
      <c r="AF123" s="33" t="str">
        <f t="shared" si="17"/>
        <v/>
      </c>
      <c r="AG123" s="33" t="str">
        <f t="shared" si="18"/>
        <v/>
      </c>
      <c r="AH123">
        <v>149.1</v>
      </c>
      <c r="AK123" s="36" t="str">
        <f t="shared" si="11"/>
        <v/>
      </c>
      <c r="AL123" t="str">
        <f t="shared" si="19"/>
        <v/>
      </c>
      <c r="AM123" t="s">
        <v>393</v>
      </c>
      <c r="AN123" t="e">
        <f t="shared" si="12"/>
        <v>#VALUE!</v>
      </c>
      <c r="AO123" t="str">
        <f t="shared" si="13"/>
        <v>------</v>
      </c>
      <c r="AP123" t="str">
        <f t="shared" si="14"/>
        <v>siperiankurmitsa / amerikankurmitsa</v>
      </c>
      <c r="AQ123" t="str">
        <f t="shared" si="20"/>
        <v>(------)</v>
      </c>
    </row>
    <row r="124" spans="1:43" x14ac:dyDescent="0.2">
      <c r="A124" s="1"/>
      <c r="B124" s="9">
        <f>B122+1</f>
        <v>119</v>
      </c>
      <c r="C124" s="10"/>
      <c r="D124" s="9" t="s">
        <v>118</v>
      </c>
      <c r="E124" s="10"/>
      <c r="F124" s="11">
        <v>43568</v>
      </c>
      <c r="G124" s="12">
        <v>43560</v>
      </c>
      <c r="H124" s="11">
        <v>43556</v>
      </c>
      <c r="I124" s="12">
        <v>43568</v>
      </c>
      <c r="J124" s="11">
        <v>43561</v>
      </c>
      <c r="K124" s="12">
        <v>43559</v>
      </c>
      <c r="L124" s="11">
        <v>43563</v>
      </c>
      <c r="M124" s="12">
        <v>43549</v>
      </c>
      <c r="N124" s="11">
        <v>43560</v>
      </c>
      <c r="O124" s="12">
        <v>43563</v>
      </c>
      <c r="P124" s="11">
        <v>43565</v>
      </c>
      <c r="Q124" s="12">
        <v>43570</v>
      </c>
      <c r="R124" s="11">
        <v>43552</v>
      </c>
      <c r="S124" s="12">
        <v>43572</v>
      </c>
      <c r="T124" s="11">
        <v>43552</v>
      </c>
      <c r="U124" s="12">
        <v>43559</v>
      </c>
      <c r="V124" s="11">
        <v>43551</v>
      </c>
      <c r="W124" s="12">
        <v>43556</v>
      </c>
      <c r="X124" s="11">
        <v>43570</v>
      </c>
      <c r="Y124" s="12">
        <v>43559</v>
      </c>
      <c r="Z124" s="11">
        <v>43549</v>
      </c>
      <c r="AA124" s="12">
        <v>43552</v>
      </c>
      <c r="AB124" s="11">
        <v>43568</v>
      </c>
      <c r="AC124" s="12">
        <v>43560</v>
      </c>
      <c r="AD124" s="34"/>
      <c r="AE124" s="33">
        <f t="shared" si="16"/>
        <v>43549</v>
      </c>
      <c r="AF124" s="33">
        <f t="shared" si="17"/>
        <v>43560</v>
      </c>
      <c r="AG124" s="33">
        <f t="shared" si="18"/>
        <v>43572</v>
      </c>
      <c r="AH124">
        <v>150</v>
      </c>
      <c r="AK124" s="36" t="str">
        <f t="shared" si="11"/>
        <v/>
      </c>
      <c r="AL124" t="str">
        <f t="shared" si="19"/>
        <v/>
      </c>
      <c r="AM124" t="s">
        <v>393</v>
      </c>
      <c r="AN124">
        <f t="shared" si="12"/>
        <v>23</v>
      </c>
      <c r="AO124" t="str">
        <f t="shared" si="13"/>
        <v>25.3.---5.4.---17.4.</v>
      </c>
      <c r="AP124" t="str">
        <f t="shared" si="14"/>
        <v>Kapustarinta</v>
      </c>
      <c r="AQ124" t="str">
        <f t="shared" si="20"/>
        <v>(25.3.---5.4.---17.4.)</v>
      </c>
    </row>
    <row r="125" spans="1:43" x14ac:dyDescent="0.2">
      <c r="A125" s="1"/>
      <c r="B125" s="9">
        <f t="shared" ref="B125:B188" si="22">B124+1</f>
        <v>120</v>
      </c>
      <c r="C125" s="10"/>
      <c r="D125" s="9" t="s">
        <v>119</v>
      </c>
      <c r="E125" s="10"/>
      <c r="F125" s="11">
        <v>43596</v>
      </c>
      <c r="G125" s="12">
        <v>43598</v>
      </c>
      <c r="H125" s="11">
        <v>43606</v>
      </c>
      <c r="I125" s="12">
        <v>43596</v>
      </c>
      <c r="J125" s="11">
        <v>43604</v>
      </c>
      <c r="K125" s="12">
        <v>43591</v>
      </c>
      <c r="L125" s="11">
        <v>43591</v>
      </c>
      <c r="M125" s="12">
        <v>43596</v>
      </c>
      <c r="N125" s="11">
        <v>43602</v>
      </c>
      <c r="O125" s="12">
        <v>43594</v>
      </c>
      <c r="P125" s="11">
        <v>43598</v>
      </c>
      <c r="Q125" s="12">
        <v>43598</v>
      </c>
      <c r="R125" s="11">
        <v>43592</v>
      </c>
      <c r="S125" s="12">
        <v>43600</v>
      </c>
      <c r="T125" s="11">
        <v>43595</v>
      </c>
      <c r="U125" s="12">
        <v>43591</v>
      </c>
      <c r="V125" s="11">
        <v>43598</v>
      </c>
      <c r="W125" s="12">
        <v>43598</v>
      </c>
      <c r="X125" s="11">
        <v>43599</v>
      </c>
      <c r="Y125" s="12">
        <v>43596</v>
      </c>
      <c r="Z125" s="11">
        <v>43609</v>
      </c>
      <c r="AA125" s="12">
        <v>43598</v>
      </c>
      <c r="AB125" s="11">
        <v>43595</v>
      </c>
      <c r="AC125" s="12">
        <v>43598</v>
      </c>
      <c r="AD125" s="34"/>
      <c r="AE125" s="33">
        <f t="shared" si="16"/>
        <v>43591</v>
      </c>
      <c r="AF125" s="33">
        <f t="shared" si="17"/>
        <v>43598</v>
      </c>
      <c r="AG125" s="33">
        <f t="shared" si="18"/>
        <v>43609</v>
      </c>
      <c r="AH125">
        <v>151</v>
      </c>
      <c r="AK125" s="36" t="str">
        <f t="shared" si="11"/>
        <v/>
      </c>
      <c r="AL125" t="str">
        <f t="shared" si="19"/>
        <v/>
      </c>
      <c r="AM125" t="s">
        <v>393</v>
      </c>
      <c r="AN125">
        <f t="shared" si="12"/>
        <v>18</v>
      </c>
      <c r="AO125" t="str">
        <f t="shared" si="13"/>
        <v>6.5.---13.5.---24.5.</v>
      </c>
      <c r="AP125" t="str">
        <f t="shared" si="14"/>
        <v>Tundrakurmitsa</v>
      </c>
      <c r="AQ125" t="str">
        <f t="shared" si="20"/>
        <v>(6.5.---13.5.---24.5.)</v>
      </c>
    </row>
    <row r="126" spans="1:43" x14ac:dyDescent="0.2">
      <c r="A126" s="1"/>
      <c r="B126" s="9">
        <f t="shared" si="22"/>
        <v>121</v>
      </c>
      <c r="C126" s="10"/>
      <c r="D126" s="15" t="s">
        <v>120</v>
      </c>
      <c r="E126" s="16"/>
      <c r="F126" s="11"/>
      <c r="G126" s="12"/>
      <c r="H126" s="11"/>
      <c r="I126" s="12"/>
      <c r="J126" s="11"/>
      <c r="K126" s="12"/>
      <c r="L126" s="11"/>
      <c r="M126" s="12"/>
      <c r="N126" s="11"/>
      <c r="O126" s="12"/>
      <c r="P126" s="11"/>
      <c r="Q126" s="12"/>
      <c r="R126" s="11"/>
      <c r="S126" s="12"/>
      <c r="T126" s="11"/>
      <c r="U126" s="12"/>
      <c r="V126" s="11"/>
      <c r="W126" s="12"/>
      <c r="X126" s="11"/>
      <c r="Y126" s="12"/>
      <c r="Z126" s="11"/>
      <c r="AA126" s="12"/>
      <c r="AB126" s="11"/>
      <c r="AC126" s="12"/>
      <c r="AD126" s="34"/>
      <c r="AE126" s="33" t="str">
        <f t="shared" si="16"/>
        <v/>
      </c>
      <c r="AF126" s="33" t="str">
        <f t="shared" si="17"/>
        <v/>
      </c>
      <c r="AG126" s="33" t="str">
        <f t="shared" si="18"/>
        <v/>
      </c>
      <c r="AH126">
        <v>153</v>
      </c>
      <c r="AK126" s="36" t="str">
        <f t="shared" si="11"/>
        <v/>
      </c>
      <c r="AL126" t="str">
        <f t="shared" si="19"/>
        <v/>
      </c>
      <c r="AM126" t="s">
        <v>393</v>
      </c>
      <c r="AN126" t="e">
        <f t="shared" si="12"/>
        <v>#VALUE!</v>
      </c>
      <c r="AO126" t="str">
        <f t="shared" si="13"/>
        <v>------</v>
      </c>
      <c r="AP126" t="str">
        <f t="shared" si="14"/>
        <v>Suohyyppä</v>
      </c>
      <c r="AQ126" t="str">
        <f t="shared" si="20"/>
        <v>(------)</v>
      </c>
    </row>
    <row r="127" spans="1:43" x14ac:dyDescent="0.2">
      <c r="A127" s="1"/>
      <c r="B127" s="9">
        <f t="shared" si="22"/>
        <v>122</v>
      </c>
      <c r="C127" s="10"/>
      <c r="D127" s="9" t="s">
        <v>121</v>
      </c>
      <c r="E127" s="10"/>
      <c r="F127" s="11">
        <v>43547</v>
      </c>
      <c r="G127" s="12">
        <v>43556</v>
      </c>
      <c r="H127" s="11">
        <v>43544</v>
      </c>
      <c r="I127" s="12">
        <v>43533</v>
      </c>
      <c r="J127" s="11">
        <v>43539</v>
      </c>
      <c r="K127" s="12">
        <v>43552</v>
      </c>
      <c r="L127" s="11">
        <v>43556</v>
      </c>
      <c r="M127" s="12">
        <f>IF(AG1,DATE(2019,1,13),DATE(2019,3,13))</f>
        <v>43537</v>
      </c>
      <c r="N127" s="11">
        <v>43536</v>
      </c>
      <c r="O127" s="12">
        <v>43527</v>
      </c>
      <c r="P127" s="11">
        <v>43553</v>
      </c>
      <c r="Q127" s="12">
        <v>43556</v>
      </c>
      <c r="R127" s="11">
        <v>43540</v>
      </c>
      <c r="S127" s="12">
        <v>43553</v>
      </c>
      <c r="T127" s="11">
        <v>43528</v>
      </c>
      <c r="U127" s="12">
        <v>43533</v>
      </c>
      <c r="V127" s="11">
        <v>43550</v>
      </c>
      <c r="W127" s="12">
        <v>43538</v>
      </c>
      <c r="X127" s="11">
        <v>43560</v>
      </c>
      <c r="Y127" s="12">
        <v>43545</v>
      </c>
      <c r="Z127" s="11">
        <f>IF(AG1,DATE(2019,1,3),DATE(2019,3,8))</f>
        <v>43532</v>
      </c>
      <c r="AA127" s="12">
        <v>43548</v>
      </c>
      <c r="AB127" s="11">
        <v>43540</v>
      </c>
      <c r="AC127" s="12">
        <v>43561</v>
      </c>
      <c r="AD127" s="34"/>
      <c r="AE127" s="33">
        <f t="shared" si="16"/>
        <v>43527</v>
      </c>
      <c r="AF127" s="33">
        <f t="shared" si="17"/>
        <v>43544</v>
      </c>
      <c r="AG127" s="33">
        <f t="shared" si="18"/>
        <v>43560</v>
      </c>
      <c r="AH127">
        <v>154</v>
      </c>
      <c r="AK127" s="36" t="str">
        <f t="shared" si="11"/>
        <v/>
      </c>
      <c r="AL127" t="str">
        <f t="shared" si="19"/>
        <v/>
      </c>
      <c r="AM127">
        <v>2</v>
      </c>
      <c r="AN127">
        <f t="shared" si="12"/>
        <v>33</v>
      </c>
      <c r="AO127" t="str">
        <f t="shared" si="13"/>
        <v>3.3.---20.3.---5.4.</v>
      </c>
      <c r="AP127" t="str">
        <f t="shared" si="14"/>
        <v>Töyhtöhyyppä</v>
      </c>
      <c r="AQ127" t="str">
        <f t="shared" si="20"/>
        <v>(3.3.---20.3.---5.4., 2/21)</v>
      </c>
    </row>
    <row r="128" spans="1:43" x14ac:dyDescent="0.2">
      <c r="A128" s="1"/>
      <c r="B128" s="9">
        <f t="shared" si="22"/>
        <v>123</v>
      </c>
      <c r="C128" s="10"/>
      <c r="D128" s="9" t="s">
        <v>122</v>
      </c>
      <c r="E128" s="10"/>
      <c r="F128" s="11">
        <v>43574</v>
      </c>
      <c r="G128" s="12">
        <v>43582</v>
      </c>
      <c r="H128" s="11">
        <v>43582</v>
      </c>
      <c r="I128" s="12">
        <v>43577</v>
      </c>
      <c r="J128" s="11">
        <v>43572</v>
      </c>
      <c r="K128" s="12">
        <v>43581</v>
      </c>
      <c r="L128" s="11">
        <v>43574</v>
      </c>
      <c r="M128" s="12">
        <v>43580</v>
      </c>
      <c r="N128" s="11">
        <v>43573</v>
      </c>
      <c r="O128" s="12">
        <v>43580</v>
      </c>
      <c r="P128" s="11">
        <v>43584</v>
      </c>
      <c r="Q128" s="12">
        <v>43578</v>
      </c>
      <c r="R128" s="11">
        <v>43576</v>
      </c>
      <c r="S128" s="12">
        <v>43577</v>
      </c>
      <c r="T128" s="11">
        <v>43572</v>
      </c>
      <c r="U128" s="12">
        <v>43578</v>
      </c>
      <c r="V128" s="11">
        <v>43582</v>
      </c>
      <c r="W128" s="12">
        <v>43579</v>
      </c>
      <c r="X128" s="11">
        <v>43580</v>
      </c>
      <c r="Y128" s="12">
        <v>43575</v>
      </c>
      <c r="Z128" s="11">
        <v>43583</v>
      </c>
      <c r="AA128" s="12">
        <v>43574</v>
      </c>
      <c r="AB128" s="11">
        <v>43577</v>
      </c>
      <c r="AC128" s="12">
        <v>43571</v>
      </c>
      <c r="AD128" s="34"/>
      <c r="AE128" s="33">
        <f t="shared" si="16"/>
        <v>43572</v>
      </c>
      <c r="AF128" s="33">
        <f t="shared" si="17"/>
        <v>43578</v>
      </c>
      <c r="AG128" s="33">
        <f t="shared" si="18"/>
        <v>43584</v>
      </c>
      <c r="AH128">
        <v>155</v>
      </c>
      <c r="AK128" s="36" t="str">
        <f t="shared" si="11"/>
        <v/>
      </c>
      <c r="AL128" t="str">
        <f t="shared" si="19"/>
        <v/>
      </c>
      <c r="AM128" t="s">
        <v>393</v>
      </c>
      <c r="AN128">
        <f t="shared" si="12"/>
        <v>12</v>
      </c>
      <c r="AO128" t="str">
        <f t="shared" si="13"/>
        <v>17.4.---23.4.---29.4.</v>
      </c>
      <c r="AP128" t="str">
        <f t="shared" si="14"/>
        <v>Pikkutylli</v>
      </c>
      <c r="AQ128" t="str">
        <f t="shared" si="20"/>
        <v>(17.4.---23.4.---29.4.)</v>
      </c>
    </row>
    <row r="129" spans="1:43" x14ac:dyDescent="0.2">
      <c r="A129" s="1"/>
      <c r="B129" s="9">
        <f t="shared" si="22"/>
        <v>124</v>
      </c>
      <c r="C129" s="10"/>
      <c r="D129" s="9" t="s">
        <v>123</v>
      </c>
      <c r="E129" s="10"/>
      <c r="F129" s="11">
        <v>43568</v>
      </c>
      <c r="G129" s="12">
        <v>43566</v>
      </c>
      <c r="H129" s="11">
        <v>43553</v>
      </c>
      <c r="I129" s="12">
        <v>43569</v>
      </c>
      <c r="J129" s="11">
        <v>43562</v>
      </c>
      <c r="K129" s="12">
        <v>43568</v>
      </c>
      <c r="L129" s="11">
        <v>43563</v>
      </c>
      <c r="M129" s="12">
        <v>43554</v>
      </c>
      <c r="N129" s="11">
        <v>43562</v>
      </c>
      <c r="O129" s="12">
        <v>43566</v>
      </c>
      <c r="P129" s="11">
        <v>43571</v>
      </c>
      <c r="Q129" s="12">
        <v>43571</v>
      </c>
      <c r="R129" s="11">
        <v>43567</v>
      </c>
      <c r="S129" s="12">
        <v>43575</v>
      </c>
      <c r="T129" s="11">
        <v>43559</v>
      </c>
      <c r="U129" s="12">
        <v>43559</v>
      </c>
      <c r="V129" s="11">
        <v>43553</v>
      </c>
      <c r="W129" s="12">
        <v>43562</v>
      </c>
      <c r="X129" s="11">
        <v>43573</v>
      </c>
      <c r="Y129" s="12">
        <v>43561</v>
      </c>
      <c r="Z129" s="11">
        <v>43562</v>
      </c>
      <c r="AA129" s="12">
        <v>43569</v>
      </c>
      <c r="AB129" s="11">
        <v>43570</v>
      </c>
      <c r="AC129" s="12">
        <v>43564</v>
      </c>
      <c r="AD129" s="34"/>
      <c r="AE129" s="33">
        <f t="shared" si="16"/>
        <v>43553</v>
      </c>
      <c r="AF129" s="33">
        <f t="shared" si="17"/>
        <v>43563</v>
      </c>
      <c r="AG129" s="33">
        <f t="shared" si="18"/>
        <v>43575</v>
      </c>
      <c r="AH129">
        <v>156</v>
      </c>
      <c r="AK129" s="36" t="str">
        <f t="shared" si="11"/>
        <v/>
      </c>
      <c r="AL129" t="str">
        <f t="shared" si="19"/>
        <v/>
      </c>
      <c r="AM129" t="s">
        <v>393</v>
      </c>
      <c r="AN129">
        <f t="shared" si="12"/>
        <v>22</v>
      </c>
      <c r="AO129" t="str">
        <f t="shared" si="13"/>
        <v>29.3.---8.4.---20.4.</v>
      </c>
      <c r="AP129" t="str">
        <f t="shared" si="14"/>
        <v>Tylli</v>
      </c>
      <c r="AQ129" t="str">
        <f t="shared" si="20"/>
        <v>(29.3.---8.4.---20.4.)</v>
      </c>
    </row>
    <row r="130" spans="1:43" x14ac:dyDescent="0.2">
      <c r="A130" s="1"/>
      <c r="B130" s="9">
        <f t="shared" si="22"/>
        <v>125</v>
      </c>
      <c r="C130" s="10"/>
      <c r="D130" s="15" t="s">
        <v>124</v>
      </c>
      <c r="E130" s="16"/>
      <c r="F130" s="11"/>
      <c r="G130" s="12"/>
      <c r="H130" s="11"/>
      <c r="I130" s="12"/>
      <c r="J130" s="11"/>
      <c r="K130" s="12"/>
      <c r="L130" s="11"/>
      <c r="M130" s="12"/>
      <c r="N130" s="11">
        <v>43598</v>
      </c>
      <c r="O130" s="12"/>
      <c r="P130" s="11"/>
      <c r="Q130" s="12"/>
      <c r="R130" s="11"/>
      <c r="S130" s="12"/>
      <c r="T130" s="11"/>
      <c r="U130" s="12">
        <v>43610</v>
      </c>
      <c r="V130" s="11"/>
      <c r="W130" s="12">
        <v>43658</v>
      </c>
      <c r="X130" s="11"/>
      <c r="Y130" s="12">
        <v>43595</v>
      </c>
      <c r="Z130" s="11">
        <v>43589</v>
      </c>
      <c r="AA130" s="12"/>
      <c r="AB130" s="11"/>
      <c r="AC130" s="12"/>
      <c r="AD130" s="34"/>
      <c r="AE130" s="33">
        <f t="shared" si="16"/>
        <v>43589</v>
      </c>
      <c r="AF130" s="33">
        <f t="shared" si="17"/>
        <v>43598</v>
      </c>
      <c r="AG130" s="33">
        <f t="shared" si="18"/>
        <v>43658</v>
      </c>
      <c r="AH130">
        <v>157</v>
      </c>
      <c r="AK130" s="36" t="str">
        <f t="shared" si="11"/>
        <v/>
      </c>
      <c r="AL130" t="str">
        <f t="shared" si="19"/>
        <v/>
      </c>
      <c r="AM130" t="s">
        <v>393</v>
      </c>
      <c r="AN130">
        <f t="shared" si="12"/>
        <v>69</v>
      </c>
      <c r="AO130" t="str">
        <f t="shared" si="13"/>
        <v>4.5.---13.5.---12.7.</v>
      </c>
      <c r="AP130" t="str">
        <f t="shared" si="14"/>
        <v>Mustajalkatylli</v>
      </c>
      <c r="AQ130" t="str">
        <f t="shared" si="20"/>
        <v>(4.5.---13.5.---12.7.)</v>
      </c>
    </row>
    <row r="131" spans="1:43" x14ac:dyDescent="0.2">
      <c r="A131" s="1"/>
      <c r="B131" s="9">
        <f t="shared" si="22"/>
        <v>126</v>
      </c>
      <c r="C131" s="10"/>
      <c r="D131" s="15" t="s">
        <v>125</v>
      </c>
      <c r="E131" s="16"/>
      <c r="F131" s="11"/>
      <c r="G131" s="12"/>
      <c r="H131" s="11"/>
      <c r="I131" s="12"/>
      <c r="J131" s="11"/>
      <c r="K131" s="12"/>
      <c r="L131" s="11"/>
      <c r="M131" s="12"/>
      <c r="N131" s="11"/>
      <c r="O131" s="12"/>
      <c r="P131" s="11"/>
      <c r="Q131" s="12"/>
      <c r="R131" s="11"/>
      <c r="S131" s="12"/>
      <c r="T131" s="11"/>
      <c r="U131" s="12"/>
      <c r="V131" s="11">
        <v>43631</v>
      </c>
      <c r="W131" s="12"/>
      <c r="X131" s="11"/>
      <c r="Y131" s="12"/>
      <c r="Z131" s="11">
        <v>43650</v>
      </c>
      <c r="AA131" s="12">
        <v>43603</v>
      </c>
      <c r="AB131" s="11"/>
      <c r="AC131" s="12"/>
      <c r="AD131" s="34"/>
      <c r="AE131" s="33">
        <f t="shared" si="16"/>
        <v>43631</v>
      </c>
      <c r="AF131" s="33">
        <f t="shared" si="17"/>
        <v>43640.5</v>
      </c>
      <c r="AG131" s="33">
        <f t="shared" si="18"/>
        <v>43650</v>
      </c>
      <c r="AH131">
        <v>159</v>
      </c>
      <c r="AK131" s="36" t="str">
        <f t="shared" si="11"/>
        <v/>
      </c>
      <c r="AL131" t="str">
        <f t="shared" si="19"/>
        <v/>
      </c>
      <c r="AM131" t="s">
        <v>393</v>
      </c>
      <c r="AN131">
        <f t="shared" si="12"/>
        <v>19</v>
      </c>
      <c r="AO131" t="str">
        <f t="shared" si="13"/>
        <v>15.6.---24.6.---4.7.</v>
      </c>
      <c r="AP131" t="str">
        <f t="shared" si="14"/>
        <v>Aavikkotylli</v>
      </c>
      <c r="AQ131" t="str">
        <f t="shared" si="20"/>
        <v>(15.6.---24.6.---4.7.)</v>
      </c>
    </row>
    <row r="132" spans="1:43" x14ac:dyDescent="0.2">
      <c r="A132" s="1"/>
      <c r="B132" s="9">
        <f t="shared" si="22"/>
        <v>127</v>
      </c>
      <c r="C132" s="10"/>
      <c r="D132" s="9" t="s">
        <v>126</v>
      </c>
      <c r="E132" s="10"/>
      <c r="F132" s="11">
        <v>43612</v>
      </c>
      <c r="G132" s="12">
        <v>43603</v>
      </c>
      <c r="H132" s="11">
        <v>43599</v>
      </c>
      <c r="I132" s="12">
        <v>43608</v>
      </c>
      <c r="J132" s="11">
        <v>43600</v>
      </c>
      <c r="K132" s="12">
        <v>43603</v>
      </c>
      <c r="L132" s="11">
        <v>43600</v>
      </c>
      <c r="M132" s="12">
        <v>43604</v>
      </c>
      <c r="N132" s="11">
        <v>43608</v>
      </c>
      <c r="O132" s="12">
        <v>43604</v>
      </c>
      <c r="P132" s="11">
        <v>43602</v>
      </c>
      <c r="Q132" s="12">
        <v>43602</v>
      </c>
      <c r="R132" s="11">
        <v>43601</v>
      </c>
      <c r="S132" s="12">
        <v>43605</v>
      </c>
      <c r="T132" s="11">
        <v>43597</v>
      </c>
      <c r="U132" s="12">
        <v>43599</v>
      </c>
      <c r="V132" s="11">
        <v>43604</v>
      </c>
      <c r="W132" s="12">
        <v>43597</v>
      </c>
      <c r="X132" s="11">
        <v>43604</v>
      </c>
      <c r="Y132" s="12">
        <v>43596</v>
      </c>
      <c r="Z132" s="11">
        <v>43608</v>
      </c>
      <c r="AA132" s="12">
        <v>43608</v>
      </c>
      <c r="AB132" s="11">
        <v>43612</v>
      </c>
      <c r="AC132" s="12">
        <v>43612</v>
      </c>
      <c r="AD132" s="34"/>
      <c r="AE132" s="33">
        <f t="shared" si="16"/>
        <v>43596</v>
      </c>
      <c r="AF132" s="33">
        <f t="shared" si="17"/>
        <v>43603</v>
      </c>
      <c r="AG132" s="33">
        <f t="shared" si="18"/>
        <v>43612</v>
      </c>
      <c r="AH132">
        <v>162</v>
      </c>
      <c r="AK132" s="36" t="str">
        <f t="shared" ref="AK132:AK195" si="23">IF(AI132&lt;&gt;"",D132 &amp; "x" &amp; TEXT(AE132, "pp.kk.")  &amp; "2019x" &amp; TEXT(Z132, "pp.kk.") &amp; "2019","")</f>
        <v/>
      </c>
      <c r="AL132" t="str">
        <f t="shared" si="19"/>
        <v/>
      </c>
      <c r="AM132" t="s">
        <v>393</v>
      </c>
      <c r="AN132">
        <f t="shared" ref="AN132:AN195" si="24">AG132-AE132</f>
        <v>16</v>
      </c>
      <c r="AO132" t="str">
        <f t="shared" ref="AO132:AO195" si="25">TEXT(AE132, "p.k.")  &amp; "---" &amp; TEXT(AF132, "p.k.")  &amp; "---" &amp; TEXT(AG132, "p.k.")</f>
        <v>11.5.---18.5.---27.5.</v>
      </c>
      <c r="AP132" t="str">
        <f t="shared" ref="AP132:AP195" si="26">D132</f>
        <v>Keräkurmitsa</v>
      </c>
      <c r="AQ132" t="str">
        <f t="shared" si="20"/>
        <v>(11.5.---18.5.---27.5.)</v>
      </c>
    </row>
    <row r="133" spans="1:43" x14ac:dyDescent="0.2">
      <c r="A133" s="1"/>
      <c r="B133" s="9">
        <f t="shared" si="22"/>
        <v>128</v>
      </c>
      <c r="C133" s="10"/>
      <c r="D133" s="9" t="s">
        <v>127</v>
      </c>
      <c r="E133" s="10"/>
      <c r="F133" s="11">
        <v>43575</v>
      </c>
      <c r="G133" s="12">
        <v>43582</v>
      </c>
      <c r="H133" s="11">
        <v>43581</v>
      </c>
      <c r="I133" s="12">
        <v>43585</v>
      </c>
      <c r="J133" s="11">
        <v>43577</v>
      </c>
      <c r="K133" s="12">
        <v>43578</v>
      </c>
      <c r="L133" s="11">
        <v>43577</v>
      </c>
      <c r="M133" s="12">
        <v>43576</v>
      </c>
      <c r="N133" s="11">
        <v>43577</v>
      </c>
      <c r="O133" s="12">
        <v>43580</v>
      </c>
      <c r="P133" s="11">
        <v>43574</v>
      </c>
      <c r="Q133" s="12">
        <v>43577</v>
      </c>
      <c r="R133" s="11">
        <v>43577</v>
      </c>
      <c r="S133" s="12">
        <v>43580</v>
      </c>
      <c r="T133" s="11">
        <v>43576</v>
      </c>
      <c r="U133" s="12">
        <v>43580</v>
      </c>
      <c r="V133" s="11">
        <v>43574</v>
      </c>
      <c r="W133" s="12">
        <v>43584</v>
      </c>
      <c r="X133" s="11">
        <v>43577</v>
      </c>
      <c r="Y133" s="12">
        <v>43577</v>
      </c>
      <c r="Z133" s="11">
        <v>43574</v>
      </c>
      <c r="AA133" s="12">
        <v>43582</v>
      </c>
      <c r="AB133" s="11">
        <v>43574</v>
      </c>
      <c r="AC133" s="12">
        <v>43581</v>
      </c>
      <c r="AD133" s="34"/>
      <c r="AE133" s="33">
        <f t="shared" ref="AE133:AE196" si="27">IF(SUM(F133:Z133)&gt;0,MIN(F133:Z133),"")</f>
        <v>43574</v>
      </c>
      <c r="AF133" s="33">
        <f t="shared" ref="AF133:AF196" si="28">IF(SUM(F133:Z133)&gt;0,MEDIAN(F133:Z133),"")</f>
        <v>43577</v>
      </c>
      <c r="AG133" s="33">
        <f t="shared" ref="AG133:AG196" si="29">IF(SUM(F133:Z133)&gt;0,MAX(F133:Z133),"")</f>
        <v>43585</v>
      </c>
      <c r="AH133">
        <v>165</v>
      </c>
      <c r="AK133" s="36" t="str">
        <f t="shared" si="23"/>
        <v/>
      </c>
      <c r="AL133" t="str">
        <f t="shared" ref="AL133:AL196" si="30">IF(COUNTIF(F133:Z133,"&lt;01.03.2019")&gt;0,COUNTIF(F133:Z133,"&lt;01.03.2019"),"")</f>
        <v/>
      </c>
      <c r="AM133" t="s">
        <v>393</v>
      </c>
      <c r="AN133">
        <f t="shared" si="24"/>
        <v>11</v>
      </c>
      <c r="AO133" t="str">
        <f t="shared" si="25"/>
        <v>19.4.---22.4.---30.4.</v>
      </c>
      <c r="AP133" t="str">
        <f t="shared" si="26"/>
        <v>Pikkukuovi</v>
      </c>
      <c r="AQ133" t="str">
        <f t="shared" ref="AQ133:AQ196" si="31">IF(AND(AM133&gt;0,AM133&lt;&gt;""),"(" &amp;AO133 &amp; ", " &amp; AM133 &amp; "/21)","(" &amp; AO133 &amp; ")")</f>
        <v>(19.4.---22.4.---30.4.)</v>
      </c>
    </row>
    <row r="134" spans="1:43" x14ac:dyDescent="0.2">
      <c r="A134" s="1"/>
      <c r="B134" s="9">
        <f t="shared" si="22"/>
        <v>129</v>
      </c>
      <c r="C134" s="10"/>
      <c r="D134" s="9" t="s">
        <v>128</v>
      </c>
      <c r="E134" s="10"/>
      <c r="F134" s="11">
        <v>43569</v>
      </c>
      <c r="G134" s="12">
        <v>43571</v>
      </c>
      <c r="H134" s="11">
        <v>43554</v>
      </c>
      <c r="I134" s="12">
        <v>43557</v>
      </c>
      <c r="J134" s="11">
        <v>43558</v>
      </c>
      <c r="K134" s="12">
        <v>43565</v>
      </c>
      <c r="L134" s="11">
        <v>43567</v>
      </c>
      <c r="M134" s="12">
        <v>43567</v>
      </c>
      <c r="N134" s="11">
        <v>43567</v>
      </c>
      <c r="O134" s="12">
        <v>43564</v>
      </c>
      <c r="P134" s="11">
        <v>43565</v>
      </c>
      <c r="Q134" s="12">
        <v>43566</v>
      </c>
      <c r="R134" s="11">
        <v>43563</v>
      </c>
      <c r="S134" s="12">
        <v>43542</v>
      </c>
      <c r="T134" s="11">
        <v>43552</v>
      </c>
      <c r="U134" s="12">
        <v>43562</v>
      </c>
      <c r="V134" s="11">
        <v>43560</v>
      </c>
      <c r="W134" s="12">
        <v>43561</v>
      </c>
      <c r="X134" s="11">
        <v>43571</v>
      </c>
      <c r="Y134" s="12">
        <v>43561</v>
      </c>
      <c r="Z134" s="11">
        <v>43563</v>
      </c>
      <c r="AA134" s="12">
        <v>43567</v>
      </c>
      <c r="AB134" s="11">
        <v>43560</v>
      </c>
      <c r="AC134" s="12">
        <v>43565</v>
      </c>
      <c r="AD134" s="34"/>
      <c r="AE134" s="33">
        <f t="shared" si="27"/>
        <v>43542</v>
      </c>
      <c r="AF134" s="33">
        <f t="shared" si="28"/>
        <v>43563</v>
      </c>
      <c r="AG134" s="33">
        <f t="shared" si="29"/>
        <v>43571</v>
      </c>
      <c r="AH134">
        <v>166</v>
      </c>
      <c r="AK134" s="36" t="str">
        <f t="shared" si="23"/>
        <v/>
      </c>
      <c r="AL134" t="str">
        <f t="shared" si="30"/>
        <v/>
      </c>
      <c r="AM134" t="s">
        <v>393</v>
      </c>
      <c r="AN134">
        <f t="shared" si="24"/>
        <v>29</v>
      </c>
      <c r="AO134" t="str">
        <f t="shared" si="25"/>
        <v>18.3.---8.4.---16.4.</v>
      </c>
      <c r="AP134" t="str">
        <f t="shared" si="26"/>
        <v>Kuovi</v>
      </c>
      <c r="AQ134" t="str">
        <f t="shared" si="31"/>
        <v>(18.3.---8.4.---16.4.)</v>
      </c>
    </row>
    <row r="135" spans="1:43" x14ac:dyDescent="0.2">
      <c r="A135" s="1"/>
      <c r="B135" s="9">
        <f t="shared" si="22"/>
        <v>130</v>
      </c>
      <c r="C135" s="10"/>
      <c r="D135" s="9" t="s">
        <v>129</v>
      </c>
      <c r="E135" s="10"/>
      <c r="F135" s="11">
        <v>43575</v>
      </c>
      <c r="G135" s="12">
        <v>43577</v>
      </c>
      <c r="H135" s="11">
        <v>43575</v>
      </c>
      <c r="I135" s="12">
        <v>43574</v>
      </c>
      <c r="J135" s="11">
        <v>43570</v>
      </c>
      <c r="K135" s="12">
        <v>43565</v>
      </c>
      <c r="L135" s="11">
        <v>43574</v>
      </c>
      <c r="M135" s="12">
        <v>43570</v>
      </c>
      <c r="N135" s="11">
        <v>43572</v>
      </c>
      <c r="O135" s="12">
        <v>43577</v>
      </c>
      <c r="P135" s="11">
        <v>43572</v>
      </c>
      <c r="Q135" s="12">
        <v>43575</v>
      </c>
      <c r="R135" s="11">
        <v>43568</v>
      </c>
      <c r="S135" s="12">
        <v>43576</v>
      </c>
      <c r="T135" s="11">
        <v>43572</v>
      </c>
      <c r="U135" s="12">
        <v>43567</v>
      </c>
      <c r="V135" s="11">
        <v>43570</v>
      </c>
      <c r="W135" s="12">
        <v>43575</v>
      </c>
      <c r="X135" s="11">
        <v>43570</v>
      </c>
      <c r="Y135" s="12">
        <v>43570</v>
      </c>
      <c r="Z135" s="11">
        <v>43565</v>
      </c>
      <c r="AA135" s="12">
        <v>43570</v>
      </c>
      <c r="AB135" s="11">
        <v>43573</v>
      </c>
      <c r="AC135" s="12">
        <v>43571</v>
      </c>
      <c r="AD135" s="34"/>
      <c r="AE135" s="33">
        <f t="shared" si="27"/>
        <v>43565</v>
      </c>
      <c r="AF135" s="33">
        <f t="shared" si="28"/>
        <v>43572</v>
      </c>
      <c r="AG135" s="33">
        <f t="shared" si="29"/>
        <v>43577</v>
      </c>
      <c r="AH135">
        <v>167</v>
      </c>
      <c r="AK135" s="36" t="str">
        <f t="shared" si="23"/>
        <v/>
      </c>
      <c r="AL135" t="str">
        <f t="shared" si="30"/>
        <v/>
      </c>
      <c r="AM135" t="s">
        <v>393</v>
      </c>
      <c r="AN135">
        <f t="shared" si="24"/>
        <v>12</v>
      </c>
      <c r="AO135" t="str">
        <f t="shared" si="25"/>
        <v>10.4.---17.4.---22.4.</v>
      </c>
      <c r="AP135" t="str">
        <f t="shared" si="26"/>
        <v>Mustapyrstökuiri</v>
      </c>
      <c r="AQ135" t="str">
        <f t="shared" si="31"/>
        <v>(10.4.---17.4.---22.4.)</v>
      </c>
    </row>
    <row r="136" spans="1:43" x14ac:dyDescent="0.2">
      <c r="A136" s="1"/>
      <c r="B136" s="9">
        <f t="shared" si="22"/>
        <v>131</v>
      </c>
      <c r="C136" s="10"/>
      <c r="D136" s="9" t="s">
        <v>130</v>
      </c>
      <c r="E136" s="10"/>
      <c r="F136" s="11">
        <v>43575</v>
      </c>
      <c r="G136" s="12">
        <v>43584</v>
      </c>
      <c r="H136" s="11">
        <v>43582</v>
      </c>
      <c r="I136" s="12">
        <v>43588</v>
      </c>
      <c r="J136" s="11">
        <v>43577</v>
      </c>
      <c r="K136" s="12">
        <v>43578</v>
      </c>
      <c r="L136" s="11">
        <v>43575</v>
      </c>
      <c r="M136" s="12">
        <v>43584</v>
      </c>
      <c r="N136" s="11">
        <v>43580</v>
      </c>
      <c r="O136" s="12">
        <v>43584</v>
      </c>
      <c r="P136" s="11">
        <v>43580</v>
      </c>
      <c r="Q136" s="12">
        <v>43576</v>
      </c>
      <c r="R136" s="11">
        <v>43579</v>
      </c>
      <c r="S136" s="12">
        <v>43580</v>
      </c>
      <c r="T136" s="11">
        <v>43573</v>
      </c>
      <c r="U136" s="12">
        <v>43570</v>
      </c>
      <c r="V136" s="11">
        <v>43572</v>
      </c>
      <c r="W136" s="12">
        <v>43565</v>
      </c>
      <c r="X136" s="11">
        <v>43582</v>
      </c>
      <c r="Y136" s="12">
        <v>43577</v>
      </c>
      <c r="Z136" s="11">
        <v>43575</v>
      </c>
      <c r="AA136" s="12">
        <v>43574</v>
      </c>
      <c r="AB136" s="11">
        <v>43581</v>
      </c>
      <c r="AC136" s="12">
        <v>43581</v>
      </c>
      <c r="AD136" s="34"/>
      <c r="AE136" s="33">
        <f t="shared" si="27"/>
        <v>43565</v>
      </c>
      <c r="AF136" s="33">
        <f t="shared" si="28"/>
        <v>43578</v>
      </c>
      <c r="AG136" s="33">
        <f t="shared" si="29"/>
        <v>43588</v>
      </c>
      <c r="AH136">
        <v>168</v>
      </c>
      <c r="AK136" s="36" t="str">
        <f t="shared" si="23"/>
        <v/>
      </c>
      <c r="AL136" t="str">
        <f t="shared" si="30"/>
        <v/>
      </c>
      <c r="AM136" t="s">
        <v>393</v>
      </c>
      <c r="AN136">
        <f t="shared" si="24"/>
        <v>23</v>
      </c>
      <c r="AO136" t="str">
        <f t="shared" si="25"/>
        <v>10.4.---23.4.---3.5.</v>
      </c>
      <c r="AP136" t="str">
        <f t="shared" si="26"/>
        <v>Punakuiri</v>
      </c>
      <c r="AQ136" t="str">
        <f t="shared" si="31"/>
        <v>(10.4.---23.4.---3.5.)</v>
      </c>
    </row>
    <row r="137" spans="1:43" x14ac:dyDescent="0.2">
      <c r="A137" s="1"/>
      <c r="B137" s="9">
        <f t="shared" si="22"/>
        <v>132</v>
      </c>
      <c r="C137" s="10"/>
      <c r="D137" s="9" t="s">
        <v>131</v>
      </c>
      <c r="E137" s="10"/>
      <c r="F137" s="11">
        <v>43587</v>
      </c>
      <c r="G137" s="12">
        <v>43590</v>
      </c>
      <c r="H137" s="11">
        <v>43586</v>
      </c>
      <c r="I137" s="12">
        <v>43588</v>
      </c>
      <c r="J137" s="11">
        <v>43585</v>
      </c>
      <c r="K137" s="12">
        <v>43588</v>
      </c>
      <c r="L137" s="11">
        <v>43590</v>
      </c>
      <c r="M137" s="12">
        <v>43590</v>
      </c>
      <c r="N137" s="11">
        <v>43585</v>
      </c>
      <c r="O137" s="12">
        <v>43590</v>
      </c>
      <c r="P137" s="11">
        <v>43588</v>
      </c>
      <c r="Q137" s="12">
        <v>43593</v>
      </c>
      <c r="R137" s="11">
        <v>43583</v>
      </c>
      <c r="S137" s="12">
        <v>43589</v>
      </c>
      <c r="T137" s="11">
        <v>43589</v>
      </c>
      <c r="U137" s="12">
        <v>43590</v>
      </c>
      <c r="V137" s="11">
        <v>43589</v>
      </c>
      <c r="W137" s="12">
        <v>43590</v>
      </c>
      <c r="X137" s="11">
        <v>43586</v>
      </c>
      <c r="Y137" s="12">
        <v>43596</v>
      </c>
      <c r="Z137" s="11">
        <v>43588</v>
      </c>
      <c r="AA137" s="12">
        <v>43594</v>
      </c>
      <c r="AB137" s="11">
        <v>43594</v>
      </c>
      <c r="AC137" s="12">
        <v>43592</v>
      </c>
      <c r="AD137" s="34"/>
      <c r="AE137" s="33">
        <f t="shared" si="27"/>
        <v>43583</v>
      </c>
      <c r="AF137" s="33">
        <f t="shared" si="28"/>
        <v>43589</v>
      </c>
      <c r="AG137" s="33">
        <f t="shared" si="29"/>
        <v>43596</v>
      </c>
      <c r="AH137">
        <v>169</v>
      </c>
      <c r="AK137" s="36" t="str">
        <f t="shared" si="23"/>
        <v/>
      </c>
      <c r="AL137" t="str">
        <f t="shared" si="30"/>
        <v/>
      </c>
      <c r="AM137" t="s">
        <v>393</v>
      </c>
      <c r="AN137">
        <f t="shared" si="24"/>
        <v>13</v>
      </c>
      <c r="AO137" t="str">
        <f t="shared" si="25"/>
        <v>28.4.---4.5.---11.5.</v>
      </c>
      <c r="AP137" t="str">
        <f t="shared" si="26"/>
        <v>Karikukko</v>
      </c>
      <c r="AQ137" t="str">
        <f t="shared" si="31"/>
        <v>(28.4.---4.5.---11.5.)</v>
      </c>
    </row>
    <row r="138" spans="1:43" x14ac:dyDescent="0.2">
      <c r="A138" s="1"/>
      <c r="B138" s="9">
        <f t="shared" si="22"/>
        <v>133</v>
      </c>
      <c r="C138" s="10"/>
      <c r="D138" s="9" t="s">
        <v>132</v>
      </c>
      <c r="E138" s="10"/>
      <c r="F138" s="11">
        <v>43599</v>
      </c>
      <c r="G138" s="12">
        <v>43597</v>
      </c>
      <c r="H138" s="11">
        <v>43597</v>
      </c>
      <c r="I138" s="12">
        <v>43596</v>
      </c>
      <c r="J138" s="11">
        <v>43595</v>
      </c>
      <c r="K138" s="12">
        <v>43601</v>
      </c>
      <c r="L138" s="11">
        <v>43598</v>
      </c>
      <c r="M138" s="12">
        <v>43591</v>
      </c>
      <c r="N138" s="11">
        <v>43597</v>
      </c>
      <c r="O138" s="12">
        <v>43598</v>
      </c>
      <c r="P138" s="11">
        <v>43599</v>
      </c>
      <c r="Q138" s="12">
        <v>43597</v>
      </c>
      <c r="R138" s="11">
        <v>43584</v>
      </c>
      <c r="S138" s="12">
        <v>43594</v>
      </c>
      <c r="T138" s="11">
        <v>43595</v>
      </c>
      <c r="U138" s="12">
        <v>43590</v>
      </c>
      <c r="V138" s="11">
        <v>43597</v>
      </c>
      <c r="W138" s="12">
        <v>43597</v>
      </c>
      <c r="X138" s="11">
        <v>43604</v>
      </c>
      <c r="Y138" s="12">
        <v>43591</v>
      </c>
      <c r="Z138" s="11">
        <v>43596</v>
      </c>
      <c r="AA138" s="12">
        <v>43601</v>
      </c>
      <c r="AB138" s="11">
        <v>43592</v>
      </c>
      <c r="AC138" s="12">
        <v>43592</v>
      </c>
      <c r="AD138" s="34"/>
      <c r="AE138" s="33">
        <f t="shared" si="27"/>
        <v>43584</v>
      </c>
      <c r="AF138" s="33">
        <f t="shared" si="28"/>
        <v>43597</v>
      </c>
      <c r="AG138" s="33">
        <f t="shared" si="29"/>
        <v>43604</v>
      </c>
      <c r="AH138">
        <v>170</v>
      </c>
      <c r="AK138" s="36" t="str">
        <f t="shared" si="23"/>
        <v/>
      </c>
      <c r="AL138" t="str">
        <f t="shared" si="30"/>
        <v/>
      </c>
      <c r="AM138" t="s">
        <v>393</v>
      </c>
      <c r="AN138">
        <f t="shared" si="24"/>
        <v>20</v>
      </c>
      <c r="AO138" t="str">
        <f t="shared" si="25"/>
        <v>29.4.---12.5.---19.5.</v>
      </c>
      <c r="AP138" t="str">
        <f t="shared" si="26"/>
        <v>Isosirri</v>
      </c>
      <c r="AQ138" t="str">
        <f t="shared" si="31"/>
        <v>(29.4.---12.5.---19.5.)</v>
      </c>
    </row>
    <row r="139" spans="1:43" x14ac:dyDescent="0.2">
      <c r="A139" s="1"/>
      <c r="B139" s="9">
        <f t="shared" si="22"/>
        <v>134</v>
      </c>
      <c r="C139" s="10"/>
      <c r="D139" s="9" t="s">
        <v>133</v>
      </c>
      <c r="E139" s="10"/>
      <c r="F139" s="11">
        <v>43572</v>
      </c>
      <c r="G139" s="12">
        <v>43580</v>
      </c>
      <c r="H139" s="11">
        <v>43579</v>
      </c>
      <c r="I139" s="12">
        <v>43574</v>
      </c>
      <c r="J139" s="11">
        <v>43575</v>
      </c>
      <c r="K139" s="12">
        <v>43575</v>
      </c>
      <c r="L139" s="11">
        <v>43579</v>
      </c>
      <c r="M139" s="12">
        <v>43580</v>
      </c>
      <c r="N139" s="11">
        <v>43581</v>
      </c>
      <c r="O139" s="12">
        <v>43580</v>
      </c>
      <c r="P139" s="11">
        <v>43583</v>
      </c>
      <c r="Q139" s="12">
        <v>43577</v>
      </c>
      <c r="R139" s="11">
        <v>43581</v>
      </c>
      <c r="S139" s="12">
        <v>43584</v>
      </c>
      <c r="T139" s="11">
        <v>43568</v>
      </c>
      <c r="U139" s="12">
        <v>43581</v>
      </c>
      <c r="V139" s="11">
        <v>43583</v>
      </c>
      <c r="W139" s="12">
        <v>43583</v>
      </c>
      <c r="X139" s="11">
        <v>43581</v>
      </c>
      <c r="Y139" s="12">
        <v>43576</v>
      </c>
      <c r="Z139" s="11">
        <v>43579</v>
      </c>
      <c r="AA139" s="12">
        <v>43575</v>
      </c>
      <c r="AB139" s="11">
        <v>43585</v>
      </c>
      <c r="AC139" s="12">
        <v>43575</v>
      </c>
      <c r="AD139" s="34"/>
      <c r="AE139" s="33">
        <f t="shared" si="27"/>
        <v>43568</v>
      </c>
      <c r="AF139" s="33">
        <f t="shared" si="28"/>
        <v>43580</v>
      </c>
      <c r="AG139" s="33">
        <f t="shared" si="29"/>
        <v>43584</v>
      </c>
      <c r="AH139">
        <v>171</v>
      </c>
      <c r="AK139" s="36" t="str">
        <f t="shared" si="23"/>
        <v/>
      </c>
      <c r="AL139" t="str">
        <f t="shared" si="30"/>
        <v/>
      </c>
      <c r="AM139" t="s">
        <v>393</v>
      </c>
      <c r="AN139">
        <f t="shared" si="24"/>
        <v>16</v>
      </c>
      <c r="AO139" t="str">
        <f t="shared" si="25"/>
        <v>13.4.---25.4.---29.4.</v>
      </c>
      <c r="AP139" t="str">
        <f t="shared" si="26"/>
        <v>Suokukko</v>
      </c>
      <c r="AQ139" t="str">
        <f t="shared" si="31"/>
        <v>(13.4.---25.4.---29.4.)</v>
      </c>
    </row>
    <row r="140" spans="1:43" x14ac:dyDescent="0.2">
      <c r="A140" s="1"/>
      <c r="B140" s="9">
        <f t="shared" si="22"/>
        <v>135</v>
      </c>
      <c r="C140" s="10"/>
      <c r="D140" s="9" t="s">
        <v>134</v>
      </c>
      <c r="E140" s="10"/>
      <c r="F140" s="11">
        <v>43607</v>
      </c>
      <c r="G140" s="12">
        <v>43601</v>
      </c>
      <c r="H140" s="11">
        <v>43608</v>
      </c>
      <c r="I140" s="12">
        <v>43605</v>
      </c>
      <c r="J140" s="11">
        <v>43604</v>
      </c>
      <c r="K140" s="12">
        <v>43602</v>
      </c>
      <c r="L140" s="11">
        <v>43600</v>
      </c>
      <c r="M140" s="12">
        <v>43605</v>
      </c>
      <c r="N140" s="11">
        <v>43603</v>
      </c>
      <c r="O140" s="12">
        <v>43605</v>
      </c>
      <c r="P140" s="11">
        <v>43607</v>
      </c>
      <c r="Q140" s="12">
        <v>43607</v>
      </c>
      <c r="R140" s="11">
        <v>43605</v>
      </c>
      <c r="S140" s="12">
        <v>43604</v>
      </c>
      <c r="T140" s="11">
        <v>43602</v>
      </c>
      <c r="U140" s="12">
        <v>43604</v>
      </c>
      <c r="V140" s="11">
        <v>43600</v>
      </c>
      <c r="W140" s="12">
        <v>43604</v>
      </c>
      <c r="X140" s="11">
        <v>43609</v>
      </c>
      <c r="Y140" s="12">
        <v>43601</v>
      </c>
      <c r="Z140" s="11">
        <v>43604</v>
      </c>
      <c r="AA140" s="12">
        <v>43608</v>
      </c>
      <c r="AB140" s="11">
        <v>43610</v>
      </c>
      <c r="AC140" s="12">
        <v>43607</v>
      </c>
      <c r="AD140" s="34"/>
      <c r="AE140" s="33">
        <f t="shared" si="27"/>
        <v>43600</v>
      </c>
      <c r="AF140" s="33">
        <f t="shared" si="28"/>
        <v>43604</v>
      </c>
      <c r="AG140" s="33">
        <f t="shared" si="29"/>
        <v>43609</v>
      </c>
      <c r="AH140">
        <v>173</v>
      </c>
      <c r="AK140" s="36" t="str">
        <f t="shared" si="23"/>
        <v/>
      </c>
      <c r="AL140" t="str">
        <f t="shared" si="30"/>
        <v/>
      </c>
      <c r="AM140" t="s">
        <v>393</v>
      </c>
      <c r="AN140">
        <f t="shared" si="24"/>
        <v>9</v>
      </c>
      <c r="AO140" t="str">
        <f t="shared" si="25"/>
        <v>15.5.---19.5.---24.5.</v>
      </c>
      <c r="AP140" t="str">
        <f t="shared" si="26"/>
        <v>Jänkäsirriäinen</v>
      </c>
      <c r="AQ140" t="str">
        <f t="shared" si="31"/>
        <v>(15.5.---19.5.---24.5.)</v>
      </c>
    </row>
    <row r="141" spans="1:43" x14ac:dyDescent="0.2">
      <c r="A141" s="1"/>
      <c r="B141" s="9">
        <f t="shared" si="22"/>
        <v>136</v>
      </c>
      <c r="C141" s="10"/>
      <c r="D141" s="9" t="s">
        <v>135</v>
      </c>
      <c r="E141" s="10"/>
      <c r="F141" s="11">
        <v>43605</v>
      </c>
      <c r="G141" s="12">
        <v>43611</v>
      </c>
      <c r="H141" s="11">
        <v>43599</v>
      </c>
      <c r="I141" s="12">
        <v>43599</v>
      </c>
      <c r="J141" s="11">
        <v>43595</v>
      </c>
      <c r="K141" s="12">
        <v>43614</v>
      </c>
      <c r="L141" s="11">
        <v>43596</v>
      </c>
      <c r="M141" s="12">
        <v>43604</v>
      </c>
      <c r="N141" s="11">
        <v>43598</v>
      </c>
      <c r="O141" s="12">
        <v>43598</v>
      </c>
      <c r="P141" s="11">
        <v>43614</v>
      </c>
      <c r="Q141" s="12">
        <v>43599</v>
      </c>
      <c r="R141" s="11">
        <v>43597</v>
      </c>
      <c r="S141" s="12">
        <v>43603</v>
      </c>
      <c r="T141" s="11">
        <v>43596</v>
      </c>
      <c r="U141" s="12">
        <v>43608</v>
      </c>
      <c r="V141" s="11">
        <v>43601</v>
      </c>
      <c r="W141" s="12">
        <v>43612</v>
      </c>
      <c r="X141" s="11">
        <v>43600</v>
      </c>
      <c r="Y141" s="12">
        <v>43610</v>
      </c>
      <c r="Z141" s="11">
        <v>43601</v>
      </c>
      <c r="AA141" s="12">
        <v>43599</v>
      </c>
      <c r="AB141" s="11">
        <v>43619</v>
      </c>
      <c r="AC141" s="12">
        <v>43594</v>
      </c>
      <c r="AD141" s="34"/>
      <c r="AE141" s="33">
        <f t="shared" si="27"/>
        <v>43595</v>
      </c>
      <c r="AF141" s="33">
        <f t="shared" si="28"/>
        <v>43601</v>
      </c>
      <c r="AG141" s="33">
        <f t="shared" si="29"/>
        <v>43614</v>
      </c>
      <c r="AH141">
        <v>174</v>
      </c>
      <c r="AK141" s="36" t="str">
        <f t="shared" si="23"/>
        <v/>
      </c>
      <c r="AL141" t="str">
        <f t="shared" si="30"/>
        <v/>
      </c>
      <c r="AM141" t="s">
        <v>393</v>
      </c>
      <c r="AN141">
        <f t="shared" si="24"/>
        <v>19</v>
      </c>
      <c r="AO141" t="str">
        <f t="shared" si="25"/>
        <v>10.5.---16.5.---29.5.</v>
      </c>
      <c r="AP141" t="str">
        <f t="shared" si="26"/>
        <v>Kuovisirri</v>
      </c>
      <c r="AQ141" t="str">
        <f t="shared" si="31"/>
        <v>(10.5.---16.5.---29.5.)</v>
      </c>
    </row>
    <row r="142" spans="1:43" x14ac:dyDescent="0.2">
      <c r="A142" s="1"/>
      <c r="B142" s="9">
        <f t="shared" si="22"/>
        <v>137</v>
      </c>
      <c r="C142" s="10"/>
      <c r="D142" s="9" t="s">
        <v>136</v>
      </c>
      <c r="E142" s="10"/>
      <c r="F142" s="11">
        <v>43585</v>
      </c>
      <c r="G142" s="12">
        <v>43594</v>
      </c>
      <c r="H142" s="11">
        <v>43583</v>
      </c>
      <c r="I142" s="12">
        <v>43591</v>
      </c>
      <c r="J142" s="11">
        <v>43587</v>
      </c>
      <c r="K142" s="12">
        <v>43590</v>
      </c>
      <c r="L142" s="11">
        <v>43584</v>
      </c>
      <c r="M142" s="12">
        <v>43588</v>
      </c>
      <c r="N142" s="11">
        <v>43592</v>
      </c>
      <c r="O142" s="12">
        <v>43591</v>
      </c>
      <c r="P142" s="11">
        <v>43592</v>
      </c>
      <c r="Q142" s="12">
        <v>43591</v>
      </c>
      <c r="R142" s="11">
        <v>43585</v>
      </c>
      <c r="S142" s="12">
        <v>43592</v>
      </c>
      <c r="T142" s="11">
        <v>43593</v>
      </c>
      <c r="U142" s="12">
        <v>43590</v>
      </c>
      <c r="V142" s="11">
        <v>43589</v>
      </c>
      <c r="W142" s="12">
        <v>43592</v>
      </c>
      <c r="X142" s="11">
        <v>43590</v>
      </c>
      <c r="Y142" s="12">
        <v>43584</v>
      </c>
      <c r="Z142" s="11">
        <v>43588</v>
      </c>
      <c r="AA142" s="12">
        <v>43594</v>
      </c>
      <c r="AB142" s="11">
        <v>43593</v>
      </c>
      <c r="AC142" s="12">
        <v>43591</v>
      </c>
      <c r="AD142" s="34"/>
      <c r="AE142" s="33">
        <f t="shared" si="27"/>
        <v>43583</v>
      </c>
      <c r="AF142" s="33">
        <f t="shared" si="28"/>
        <v>43590</v>
      </c>
      <c r="AG142" s="33">
        <f t="shared" si="29"/>
        <v>43594</v>
      </c>
      <c r="AH142">
        <v>178</v>
      </c>
      <c r="AK142" s="36" t="str">
        <f t="shared" si="23"/>
        <v/>
      </c>
      <c r="AL142" t="str">
        <f t="shared" si="30"/>
        <v/>
      </c>
      <c r="AM142" t="s">
        <v>393</v>
      </c>
      <c r="AN142">
        <f t="shared" si="24"/>
        <v>11</v>
      </c>
      <c r="AO142" t="str">
        <f t="shared" si="25"/>
        <v>28.4.---5.5.---9.5.</v>
      </c>
      <c r="AP142" t="str">
        <f t="shared" si="26"/>
        <v>Lapinsirri</v>
      </c>
      <c r="AQ142" t="str">
        <f t="shared" si="31"/>
        <v>(28.4.---5.5.---9.5.)</v>
      </c>
    </row>
    <row r="143" spans="1:43" x14ac:dyDescent="0.2">
      <c r="A143" s="1"/>
      <c r="B143" s="9">
        <f t="shared" si="22"/>
        <v>138</v>
      </c>
      <c r="C143" s="10"/>
      <c r="D143" s="9" t="s">
        <v>137</v>
      </c>
      <c r="E143" s="10"/>
      <c r="F143" s="11">
        <v>43613</v>
      </c>
      <c r="G143" s="12">
        <v>43611</v>
      </c>
      <c r="H143" s="11">
        <v>43604</v>
      </c>
      <c r="I143" s="12">
        <v>43600</v>
      </c>
      <c r="J143" s="11">
        <v>43602</v>
      </c>
      <c r="K143" s="12">
        <v>43605</v>
      </c>
      <c r="L143" s="11">
        <v>43612</v>
      </c>
      <c r="M143" s="12">
        <v>43603</v>
      </c>
      <c r="N143" s="11">
        <v>43609</v>
      </c>
      <c r="O143" s="12">
        <v>43609</v>
      </c>
      <c r="P143" s="11">
        <v>43623</v>
      </c>
      <c r="Q143" s="12">
        <v>43605</v>
      </c>
      <c r="R143" s="11">
        <v>43602</v>
      </c>
      <c r="S143" s="12">
        <v>43602</v>
      </c>
      <c r="T143" s="11">
        <v>43610</v>
      </c>
      <c r="U143" s="12">
        <v>43596</v>
      </c>
      <c r="V143" s="11">
        <v>43600</v>
      </c>
      <c r="W143" s="12">
        <v>43612</v>
      </c>
      <c r="X143" s="11">
        <v>43611</v>
      </c>
      <c r="Y143" s="12">
        <v>43602</v>
      </c>
      <c r="Z143" s="11">
        <v>43606</v>
      </c>
      <c r="AA143" s="12">
        <v>43618</v>
      </c>
      <c r="AB143" s="11">
        <v>43606</v>
      </c>
      <c r="AC143" s="12">
        <v>43601</v>
      </c>
      <c r="AD143" s="34"/>
      <c r="AE143" s="33">
        <f t="shared" si="27"/>
        <v>43596</v>
      </c>
      <c r="AF143" s="33">
        <f t="shared" si="28"/>
        <v>43605</v>
      </c>
      <c r="AG143" s="33">
        <f t="shared" si="29"/>
        <v>43623</v>
      </c>
      <c r="AH143">
        <v>179</v>
      </c>
      <c r="AK143" s="36" t="str">
        <f t="shared" si="23"/>
        <v/>
      </c>
      <c r="AL143" t="str">
        <f t="shared" si="30"/>
        <v/>
      </c>
      <c r="AM143" t="s">
        <v>393</v>
      </c>
      <c r="AN143">
        <f t="shared" si="24"/>
        <v>27</v>
      </c>
      <c r="AO143" t="str">
        <f t="shared" si="25"/>
        <v>11.5.---20.5.---7.6.</v>
      </c>
      <c r="AP143" t="str">
        <f t="shared" si="26"/>
        <v>Pulmussirri</v>
      </c>
      <c r="AQ143" t="str">
        <f t="shared" si="31"/>
        <v>(11.5.---20.5.---7.6.)</v>
      </c>
    </row>
    <row r="144" spans="1:43" x14ac:dyDescent="0.2">
      <c r="A144" s="1"/>
      <c r="B144" s="9">
        <f t="shared" si="22"/>
        <v>139</v>
      </c>
      <c r="C144" s="10"/>
      <c r="D144" s="9" t="s">
        <v>138</v>
      </c>
      <c r="E144" s="10"/>
      <c r="F144" s="11">
        <v>43575</v>
      </c>
      <c r="G144" s="12">
        <v>43577</v>
      </c>
      <c r="H144" s="11">
        <v>43586</v>
      </c>
      <c r="I144" s="12">
        <v>43581</v>
      </c>
      <c r="J144" s="11">
        <v>43572</v>
      </c>
      <c r="K144" s="12">
        <v>43582</v>
      </c>
      <c r="L144" s="11">
        <v>43575</v>
      </c>
      <c r="M144" s="12">
        <v>43573</v>
      </c>
      <c r="N144" s="11">
        <v>43578</v>
      </c>
      <c r="O144" s="12">
        <v>43581</v>
      </c>
      <c r="P144" s="11">
        <v>43573</v>
      </c>
      <c r="Q144" s="12">
        <v>43573</v>
      </c>
      <c r="R144" s="11">
        <v>43577</v>
      </c>
      <c r="S144" s="12">
        <v>43577</v>
      </c>
      <c r="T144" s="11">
        <v>43575</v>
      </c>
      <c r="U144" s="12">
        <v>43583</v>
      </c>
      <c r="V144" s="11">
        <v>43573</v>
      </c>
      <c r="W144" s="12">
        <v>43583</v>
      </c>
      <c r="X144" s="11">
        <v>43575</v>
      </c>
      <c r="Y144" s="12">
        <v>43579</v>
      </c>
      <c r="Z144" s="11">
        <v>43566</v>
      </c>
      <c r="AA144" s="12">
        <v>43578</v>
      </c>
      <c r="AB144" s="11">
        <v>43585</v>
      </c>
      <c r="AC144" s="12">
        <v>43578</v>
      </c>
      <c r="AD144" s="34"/>
      <c r="AE144" s="33">
        <f t="shared" si="27"/>
        <v>43566</v>
      </c>
      <c r="AF144" s="33">
        <f t="shared" si="28"/>
        <v>43577</v>
      </c>
      <c r="AG144" s="33">
        <f t="shared" si="29"/>
        <v>43586</v>
      </c>
      <c r="AH144">
        <v>180</v>
      </c>
      <c r="AK144" s="36" t="str">
        <f t="shared" si="23"/>
        <v/>
      </c>
      <c r="AL144" t="str">
        <f t="shared" si="30"/>
        <v/>
      </c>
      <c r="AM144" t="s">
        <v>393</v>
      </c>
      <c r="AN144">
        <f t="shared" si="24"/>
        <v>20</v>
      </c>
      <c r="AO144" t="str">
        <f t="shared" si="25"/>
        <v>11.4.---22.4.---1.5.</v>
      </c>
      <c r="AP144" t="str">
        <f t="shared" si="26"/>
        <v>Suosirri</v>
      </c>
      <c r="AQ144" t="str">
        <f t="shared" si="31"/>
        <v>(11.4.---22.4.---1.5.)</v>
      </c>
    </row>
    <row r="145" spans="1:43" x14ac:dyDescent="0.2">
      <c r="A145" s="1"/>
      <c r="B145" s="9">
        <f t="shared" si="22"/>
        <v>140</v>
      </c>
      <c r="C145" s="10"/>
      <c r="D145" s="9" t="s">
        <v>139</v>
      </c>
      <c r="E145" s="10"/>
      <c r="F145" s="11">
        <v>43754</v>
      </c>
      <c r="G145" s="12">
        <v>43750</v>
      </c>
      <c r="H145" s="11">
        <v>43728</v>
      </c>
      <c r="I145" s="12">
        <v>43721</v>
      </c>
      <c r="J145" s="11">
        <v>43739</v>
      </c>
      <c r="K145" s="12">
        <v>43744</v>
      </c>
      <c r="L145" s="11">
        <v>43732</v>
      </c>
      <c r="M145" s="12">
        <v>43731</v>
      </c>
      <c r="N145" s="11">
        <v>43734</v>
      </c>
      <c r="O145" s="12">
        <v>43725</v>
      </c>
      <c r="P145" s="11">
        <v>43741</v>
      </c>
      <c r="Q145" s="12">
        <v>43736</v>
      </c>
      <c r="R145" s="11">
        <v>43723</v>
      </c>
      <c r="S145" s="12">
        <v>43743</v>
      </c>
      <c r="T145" s="11">
        <v>43737</v>
      </c>
      <c r="U145" s="12">
        <v>43738</v>
      </c>
      <c r="V145" s="11">
        <v>43742</v>
      </c>
      <c r="W145" s="12">
        <v>43605</v>
      </c>
      <c r="X145" s="11">
        <v>43604</v>
      </c>
      <c r="Y145" s="12">
        <v>43743</v>
      </c>
      <c r="Z145" s="11">
        <v>43604</v>
      </c>
      <c r="AA145" s="12">
        <v>43466</v>
      </c>
      <c r="AB145" s="11">
        <v>43741</v>
      </c>
      <c r="AC145" s="12"/>
      <c r="AD145" s="34"/>
      <c r="AE145" s="33">
        <f t="shared" si="27"/>
        <v>43604</v>
      </c>
      <c r="AF145" s="33">
        <f t="shared" si="28"/>
        <v>43736</v>
      </c>
      <c r="AG145" s="33">
        <f t="shared" si="29"/>
        <v>43754</v>
      </c>
      <c r="AH145">
        <v>181</v>
      </c>
      <c r="AK145" s="36" t="str">
        <f t="shared" si="23"/>
        <v/>
      </c>
      <c r="AL145" t="str">
        <f t="shared" si="30"/>
        <v/>
      </c>
      <c r="AM145" t="s">
        <v>393</v>
      </c>
      <c r="AN145">
        <f t="shared" si="24"/>
        <v>150</v>
      </c>
      <c r="AO145" t="str">
        <f t="shared" si="25"/>
        <v>19.5.---28.9.---16.10.</v>
      </c>
      <c r="AP145" t="str">
        <f t="shared" si="26"/>
        <v>Merisirri</v>
      </c>
      <c r="AQ145" t="str">
        <f t="shared" si="31"/>
        <v>(19.5.---28.9.---16.10.)</v>
      </c>
    </row>
    <row r="146" spans="1:43" x14ac:dyDescent="0.2">
      <c r="A146" s="1"/>
      <c r="B146" s="9">
        <f t="shared" si="22"/>
        <v>141</v>
      </c>
      <c r="C146" s="10"/>
      <c r="D146" s="15" t="s">
        <v>140</v>
      </c>
      <c r="E146" s="16"/>
      <c r="F146" s="11"/>
      <c r="G146" s="12"/>
      <c r="H146" s="11"/>
      <c r="I146" s="12"/>
      <c r="J146" s="11"/>
      <c r="K146" s="12"/>
      <c r="L146" s="11"/>
      <c r="M146" s="12"/>
      <c r="N146" s="11"/>
      <c r="O146" s="12"/>
      <c r="P146" s="11"/>
      <c r="Q146" s="12"/>
      <c r="R146" s="11"/>
      <c r="S146" s="12"/>
      <c r="T146" s="11"/>
      <c r="U146" s="12"/>
      <c r="V146" s="11"/>
      <c r="W146" s="12"/>
      <c r="X146" s="11"/>
      <c r="Y146" s="12">
        <v>43757</v>
      </c>
      <c r="Z146" s="11"/>
      <c r="AA146" s="12"/>
      <c r="AB146" s="11"/>
      <c r="AC146" s="12"/>
      <c r="AD146" s="34"/>
      <c r="AE146" s="33">
        <f t="shared" si="27"/>
        <v>43757</v>
      </c>
      <c r="AF146" s="33">
        <f t="shared" si="28"/>
        <v>43757</v>
      </c>
      <c r="AG146" s="33">
        <f t="shared" si="29"/>
        <v>43757</v>
      </c>
      <c r="AH146">
        <v>182</v>
      </c>
      <c r="AK146" s="36" t="str">
        <f t="shared" si="23"/>
        <v/>
      </c>
      <c r="AL146" t="str">
        <f t="shared" si="30"/>
        <v/>
      </c>
      <c r="AM146" t="s">
        <v>393</v>
      </c>
      <c r="AN146">
        <f t="shared" si="24"/>
        <v>0</v>
      </c>
      <c r="AO146" t="str">
        <f t="shared" si="25"/>
        <v>19.10.---19.10.---19.10.</v>
      </c>
      <c r="AP146" t="str">
        <f t="shared" si="26"/>
        <v>Eskimosirri</v>
      </c>
      <c r="AQ146" t="str">
        <f t="shared" si="31"/>
        <v>(19.10.---19.10.---19.10.)</v>
      </c>
    </row>
    <row r="147" spans="1:43" x14ac:dyDescent="0.2">
      <c r="A147" s="1"/>
      <c r="B147" s="9">
        <f t="shared" si="22"/>
        <v>142</v>
      </c>
      <c r="C147" s="10"/>
      <c r="D147" s="9" t="s">
        <v>141</v>
      </c>
      <c r="E147" s="10"/>
      <c r="F147" s="11">
        <v>43603</v>
      </c>
      <c r="G147" s="12">
        <v>43611</v>
      </c>
      <c r="H147" s="11">
        <v>43606</v>
      </c>
      <c r="I147" s="12">
        <v>43602</v>
      </c>
      <c r="J147" s="11">
        <v>43602</v>
      </c>
      <c r="K147" s="12">
        <v>43605</v>
      </c>
      <c r="L147" s="11">
        <v>43612</v>
      </c>
      <c r="M147" s="12">
        <v>43613</v>
      </c>
      <c r="N147" s="11">
        <v>43608</v>
      </c>
      <c r="O147" s="12">
        <v>43605</v>
      </c>
      <c r="P147" s="11">
        <v>43610</v>
      </c>
      <c r="Q147" s="12">
        <v>43598</v>
      </c>
      <c r="R147" s="11">
        <v>43601</v>
      </c>
      <c r="S147" s="12">
        <v>43604</v>
      </c>
      <c r="T147" s="11">
        <v>43609</v>
      </c>
      <c r="U147" s="12">
        <v>43608</v>
      </c>
      <c r="V147" s="11">
        <v>43601</v>
      </c>
      <c r="W147" s="12">
        <v>43604</v>
      </c>
      <c r="X147" s="11">
        <v>43611</v>
      </c>
      <c r="Y147" s="12">
        <v>43604</v>
      </c>
      <c r="Z147" s="11">
        <v>43597</v>
      </c>
      <c r="AA147" s="12">
        <v>43600</v>
      </c>
      <c r="AB147" s="11">
        <v>43605</v>
      </c>
      <c r="AC147" s="12">
        <v>43602</v>
      </c>
      <c r="AD147" s="34"/>
      <c r="AE147" s="33">
        <f t="shared" si="27"/>
        <v>43597</v>
      </c>
      <c r="AF147" s="33">
        <f t="shared" si="28"/>
        <v>43605</v>
      </c>
      <c r="AG147" s="33">
        <f t="shared" si="29"/>
        <v>43613</v>
      </c>
      <c r="AH147">
        <v>183</v>
      </c>
      <c r="AK147" s="36" t="str">
        <f t="shared" si="23"/>
        <v/>
      </c>
      <c r="AL147" t="str">
        <f t="shared" si="30"/>
        <v/>
      </c>
      <c r="AM147" t="s">
        <v>393</v>
      </c>
      <c r="AN147">
        <f t="shared" si="24"/>
        <v>16</v>
      </c>
      <c r="AO147" t="str">
        <f t="shared" si="25"/>
        <v>12.5.---20.5.---28.5.</v>
      </c>
      <c r="AP147" t="str">
        <f t="shared" si="26"/>
        <v>Pikkusirri</v>
      </c>
      <c r="AQ147" t="str">
        <f t="shared" si="31"/>
        <v>(12.5.---20.5.---28.5.)</v>
      </c>
    </row>
    <row r="148" spans="1:43" x14ac:dyDescent="0.2">
      <c r="A148" s="1"/>
      <c r="B148" s="9">
        <f t="shared" si="22"/>
        <v>143</v>
      </c>
      <c r="C148" s="10"/>
      <c r="D148" s="15" t="s">
        <v>142</v>
      </c>
      <c r="E148" s="16"/>
      <c r="F148" s="11"/>
      <c r="G148" s="12"/>
      <c r="H148" s="11"/>
      <c r="I148" s="12"/>
      <c r="J148" s="11"/>
      <c r="K148" s="12"/>
      <c r="L148" s="11"/>
      <c r="M148" s="12"/>
      <c r="N148" s="11"/>
      <c r="O148" s="12"/>
      <c r="P148" s="11">
        <v>43656</v>
      </c>
      <c r="Q148" s="12"/>
      <c r="R148" s="11"/>
      <c r="S148" s="12"/>
      <c r="T148" s="11"/>
      <c r="U148" s="12"/>
      <c r="V148" s="11"/>
      <c r="W148" s="12"/>
      <c r="X148" s="11"/>
      <c r="Y148" s="12"/>
      <c r="Z148" s="11"/>
      <c r="AA148" s="12"/>
      <c r="AB148" s="11"/>
      <c r="AC148" s="12">
        <v>43709</v>
      </c>
      <c r="AD148" s="34"/>
      <c r="AE148" s="33">
        <f t="shared" si="27"/>
        <v>43656</v>
      </c>
      <c r="AF148" s="33">
        <f t="shared" si="28"/>
        <v>43656</v>
      </c>
      <c r="AG148" s="33">
        <f t="shared" si="29"/>
        <v>43656</v>
      </c>
      <c r="AH148">
        <v>184</v>
      </c>
      <c r="AK148" s="36" t="str">
        <f t="shared" si="23"/>
        <v/>
      </c>
      <c r="AL148" t="str">
        <f t="shared" si="30"/>
        <v/>
      </c>
      <c r="AM148" t="s">
        <v>393</v>
      </c>
      <c r="AN148">
        <f t="shared" si="24"/>
        <v>0</v>
      </c>
      <c r="AO148" t="str">
        <f t="shared" si="25"/>
        <v>10.7.---10.7.---10.7.</v>
      </c>
      <c r="AP148" t="str">
        <f t="shared" si="26"/>
        <v>Valkoperäsirri</v>
      </c>
      <c r="AQ148" t="str">
        <f t="shared" si="31"/>
        <v>(10.7.---10.7.---10.7.)</v>
      </c>
    </row>
    <row r="149" spans="1:43" x14ac:dyDescent="0.2">
      <c r="A149" s="1"/>
      <c r="B149" s="9">
        <f t="shared" si="22"/>
        <v>144</v>
      </c>
      <c r="C149" s="10"/>
      <c r="D149" s="15" t="s">
        <v>143</v>
      </c>
      <c r="E149" s="16"/>
      <c r="F149" s="11"/>
      <c r="G149" s="12"/>
      <c r="H149" s="11"/>
      <c r="I149" s="12"/>
      <c r="J149" s="11"/>
      <c r="K149" s="12"/>
      <c r="L149" s="11"/>
      <c r="M149" s="12"/>
      <c r="N149" s="11">
        <v>43735</v>
      </c>
      <c r="O149" s="12"/>
      <c r="P149" s="11">
        <v>43711</v>
      </c>
      <c r="Q149" s="12">
        <v>43633</v>
      </c>
      <c r="R149" s="11">
        <v>43617</v>
      </c>
      <c r="S149" s="12"/>
      <c r="T149" s="11"/>
      <c r="U149" s="12"/>
      <c r="V149" s="11"/>
      <c r="W149" s="12"/>
      <c r="X149" s="11">
        <v>43672</v>
      </c>
      <c r="Y149" s="12"/>
      <c r="Z149" s="11"/>
      <c r="AA149" s="12"/>
      <c r="AB149" s="11"/>
      <c r="AC149" s="12">
        <v>43719</v>
      </c>
      <c r="AD149" s="34"/>
      <c r="AE149" s="33">
        <f t="shared" si="27"/>
        <v>43617</v>
      </c>
      <c r="AF149" s="33">
        <f t="shared" si="28"/>
        <v>43672</v>
      </c>
      <c r="AG149" s="33">
        <f t="shared" si="29"/>
        <v>43735</v>
      </c>
      <c r="AH149">
        <v>186</v>
      </c>
      <c r="AK149" s="36" t="str">
        <f t="shared" si="23"/>
        <v/>
      </c>
      <c r="AL149" t="str">
        <f t="shared" si="30"/>
        <v/>
      </c>
      <c r="AM149" t="s">
        <v>393</v>
      </c>
      <c r="AN149">
        <f t="shared" si="24"/>
        <v>118</v>
      </c>
      <c r="AO149" t="str">
        <f t="shared" si="25"/>
        <v>1.6.---26.7.---27.9.</v>
      </c>
      <c r="AP149" t="str">
        <f t="shared" si="26"/>
        <v>Tundravikla</v>
      </c>
      <c r="AQ149" t="str">
        <f t="shared" si="31"/>
        <v>(1.6.---26.7.---27.9.)</v>
      </c>
    </row>
    <row r="150" spans="1:43" x14ac:dyDescent="0.2">
      <c r="A150" s="1"/>
      <c r="B150" s="9">
        <f t="shared" si="22"/>
        <v>145</v>
      </c>
      <c r="C150" s="10"/>
      <c r="D150" s="15" t="s">
        <v>144</v>
      </c>
      <c r="E150" s="16"/>
      <c r="F150" s="11"/>
      <c r="G150" s="12"/>
      <c r="H150" s="11"/>
      <c r="I150" s="12">
        <v>43717</v>
      </c>
      <c r="J150" s="11">
        <v>43617</v>
      </c>
      <c r="K150" s="12"/>
      <c r="L150" s="11"/>
      <c r="M150" s="12">
        <v>43620</v>
      </c>
      <c r="N150" s="11">
        <v>43732</v>
      </c>
      <c r="O150" s="12"/>
      <c r="P150" s="11"/>
      <c r="Q150" s="12">
        <v>43681</v>
      </c>
      <c r="R150" s="11">
        <v>43745</v>
      </c>
      <c r="S150" s="12">
        <v>43614</v>
      </c>
      <c r="T150" s="11"/>
      <c r="U150" s="12"/>
      <c r="V150" s="11"/>
      <c r="W150" s="12"/>
      <c r="X150" s="11">
        <v>43675</v>
      </c>
      <c r="Y150" s="12"/>
      <c r="Z150" s="11"/>
      <c r="AA150" s="12">
        <v>43733</v>
      </c>
      <c r="AB150" s="11"/>
      <c r="AC150" s="12"/>
      <c r="AD150" s="34"/>
      <c r="AE150" s="33">
        <f t="shared" si="27"/>
        <v>43614</v>
      </c>
      <c r="AF150" s="33">
        <f t="shared" si="28"/>
        <v>43678</v>
      </c>
      <c r="AG150" s="33">
        <f t="shared" si="29"/>
        <v>43745</v>
      </c>
      <c r="AH150">
        <v>187</v>
      </c>
      <c r="AK150" s="36" t="str">
        <f t="shared" si="23"/>
        <v/>
      </c>
      <c r="AL150" t="str">
        <f t="shared" si="30"/>
        <v/>
      </c>
      <c r="AM150" t="s">
        <v>393</v>
      </c>
      <c r="AN150">
        <f t="shared" si="24"/>
        <v>131</v>
      </c>
      <c r="AO150" t="str">
        <f t="shared" si="25"/>
        <v>29.5.---1.8.---7.10.</v>
      </c>
      <c r="AP150" t="str">
        <f t="shared" si="26"/>
        <v>Palsasirri</v>
      </c>
      <c r="AQ150" t="str">
        <f t="shared" si="31"/>
        <v>(29.5.---1.8.---7.10.)</v>
      </c>
    </row>
    <row r="151" spans="1:43" x14ac:dyDescent="0.2">
      <c r="A151" s="1"/>
      <c r="B151" s="9">
        <f t="shared" si="22"/>
        <v>146</v>
      </c>
      <c r="C151" s="10"/>
      <c r="D151" s="9" t="s">
        <v>145</v>
      </c>
      <c r="E151" s="10"/>
      <c r="F151" s="11">
        <v>43605</v>
      </c>
      <c r="G151" s="12">
        <v>43600</v>
      </c>
      <c r="H151" s="11">
        <v>43597</v>
      </c>
      <c r="I151" s="12">
        <v>43604</v>
      </c>
      <c r="J151" s="11">
        <v>43604</v>
      </c>
      <c r="K151" s="12">
        <v>43601</v>
      </c>
      <c r="L151" s="11">
        <v>43603</v>
      </c>
      <c r="M151" s="12">
        <v>43603</v>
      </c>
      <c r="N151" s="11">
        <v>43604</v>
      </c>
      <c r="O151" s="12">
        <v>43600</v>
      </c>
      <c r="P151" s="11">
        <v>43607</v>
      </c>
      <c r="Q151" s="12">
        <v>43606</v>
      </c>
      <c r="R151" s="11">
        <v>43598</v>
      </c>
      <c r="S151" s="12">
        <v>43605</v>
      </c>
      <c r="T151" s="11">
        <v>43602</v>
      </c>
      <c r="U151" s="12">
        <v>43602</v>
      </c>
      <c r="V151" s="11">
        <v>43592</v>
      </c>
      <c r="W151" s="12">
        <v>43604</v>
      </c>
      <c r="X151" s="11">
        <v>43605</v>
      </c>
      <c r="Y151" s="12">
        <v>43598</v>
      </c>
      <c r="Z151" s="11">
        <v>43602</v>
      </c>
      <c r="AA151" s="12">
        <v>43600</v>
      </c>
      <c r="AB151" s="11">
        <v>43605</v>
      </c>
      <c r="AC151" s="12">
        <v>43609</v>
      </c>
      <c r="AD151" s="34"/>
      <c r="AE151" s="33">
        <f t="shared" si="27"/>
        <v>43592</v>
      </c>
      <c r="AF151" s="33">
        <f t="shared" si="28"/>
        <v>43603</v>
      </c>
      <c r="AG151" s="33">
        <f t="shared" si="29"/>
        <v>43607</v>
      </c>
      <c r="AH151">
        <v>189</v>
      </c>
      <c r="AK151" s="36" t="str">
        <f t="shared" si="23"/>
        <v/>
      </c>
      <c r="AL151" t="str">
        <f t="shared" si="30"/>
        <v/>
      </c>
      <c r="AM151" t="s">
        <v>393</v>
      </c>
      <c r="AN151">
        <f t="shared" si="24"/>
        <v>15</v>
      </c>
      <c r="AO151" t="str">
        <f t="shared" si="25"/>
        <v>7.5.---18.5.---22.5.</v>
      </c>
      <c r="AP151" t="str">
        <f t="shared" si="26"/>
        <v>Vesipääsky</v>
      </c>
      <c r="AQ151" t="str">
        <f t="shared" si="31"/>
        <v>(7.5.---18.5.---22.5.)</v>
      </c>
    </row>
    <row r="152" spans="1:43" x14ac:dyDescent="0.2">
      <c r="A152" s="1"/>
      <c r="B152" s="9">
        <f t="shared" si="22"/>
        <v>147</v>
      </c>
      <c r="C152" s="10"/>
      <c r="D152" s="15" t="s">
        <v>146</v>
      </c>
      <c r="E152" s="16"/>
      <c r="F152" s="11"/>
      <c r="G152" s="12"/>
      <c r="H152" s="11"/>
      <c r="I152" s="12"/>
      <c r="J152" s="11"/>
      <c r="K152" s="12">
        <v>43617</v>
      </c>
      <c r="L152" s="11"/>
      <c r="M152" s="12">
        <v>43613</v>
      </c>
      <c r="N152" s="11"/>
      <c r="O152" s="12"/>
      <c r="P152" s="11">
        <v>43757</v>
      </c>
      <c r="Q152" s="12"/>
      <c r="R152" s="11"/>
      <c r="S152" s="12"/>
      <c r="T152" s="11"/>
      <c r="U152" s="12"/>
      <c r="V152" s="11"/>
      <c r="W152" s="12">
        <v>43619</v>
      </c>
      <c r="X152" s="11"/>
      <c r="Y152" s="12"/>
      <c r="Z152" s="11"/>
      <c r="AA152" s="12"/>
      <c r="AB152" s="11"/>
      <c r="AC152" s="12"/>
      <c r="AD152" s="34"/>
      <c r="AE152" s="33">
        <f t="shared" si="27"/>
        <v>43613</v>
      </c>
      <c r="AF152" s="33">
        <f t="shared" si="28"/>
        <v>43618</v>
      </c>
      <c r="AG152" s="33">
        <f t="shared" si="29"/>
        <v>43757</v>
      </c>
      <c r="AH152">
        <v>190</v>
      </c>
      <c r="AK152" s="36" t="str">
        <f t="shared" si="23"/>
        <v/>
      </c>
      <c r="AL152" t="str">
        <f t="shared" si="30"/>
        <v/>
      </c>
      <c r="AM152" t="s">
        <v>393</v>
      </c>
      <c r="AN152">
        <f t="shared" si="24"/>
        <v>144</v>
      </c>
      <c r="AO152" t="str">
        <f t="shared" si="25"/>
        <v>28.5.---2.6.---19.10.</v>
      </c>
      <c r="AP152" t="str">
        <f t="shared" si="26"/>
        <v>Isovesipääsky</v>
      </c>
      <c r="AQ152" t="str">
        <f t="shared" si="31"/>
        <v>(28.5.---2.6.---19.10.)</v>
      </c>
    </row>
    <row r="153" spans="1:43" x14ac:dyDescent="0.2">
      <c r="A153" s="1"/>
      <c r="B153" s="9">
        <f t="shared" si="22"/>
        <v>148</v>
      </c>
      <c r="C153" s="10"/>
      <c r="D153" s="9" t="s">
        <v>147</v>
      </c>
      <c r="E153" s="10"/>
      <c r="F153" s="11">
        <v>43586</v>
      </c>
      <c r="G153" s="12">
        <v>43602</v>
      </c>
      <c r="H153" s="11">
        <v>43608</v>
      </c>
      <c r="I153" s="12">
        <v>43602</v>
      </c>
      <c r="J153" s="11">
        <v>43600</v>
      </c>
      <c r="K153" s="12">
        <v>43601</v>
      </c>
      <c r="L153" s="11">
        <v>43598</v>
      </c>
      <c r="M153" s="12">
        <v>43598</v>
      </c>
      <c r="N153" s="11">
        <v>43598</v>
      </c>
      <c r="O153" s="12">
        <v>43593</v>
      </c>
      <c r="P153" s="11">
        <v>43599</v>
      </c>
      <c r="Q153" s="12">
        <v>43599</v>
      </c>
      <c r="R153" s="11">
        <v>43591</v>
      </c>
      <c r="S153" s="12">
        <v>43602</v>
      </c>
      <c r="T153" s="11">
        <v>43609</v>
      </c>
      <c r="U153" s="12">
        <v>43594</v>
      </c>
      <c r="V153" s="11">
        <v>43598</v>
      </c>
      <c r="W153" s="12">
        <v>43603</v>
      </c>
      <c r="X153" s="11">
        <v>43594</v>
      </c>
      <c r="Y153" s="12">
        <v>43597</v>
      </c>
      <c r="Z153" s="11">
        <v>43602</v>
      </c>
      <c r="AA153" s="12">
        <v>43610</v>
      </c>
      <c r="AB153" s="11">
        <v>43609</v>
      </c>
      <c r="AC153" s="12">
        <v>43600</v>
      </c>
      <c r="AD153" s="34"/>
      <c r="AE153" s="33">
        <f t="shared" si="27"/>
        <v>43586</v>
      </c>
      <c r="AF153" s="33">
        <f t="shared" si="28"/>
        <v>43599</v>
      </c>
      <c r="AG153" s="33">
        <f t="shared" si="29"/>
        <v>43609</v>
      </c>
      <c r="AH153">
        <v>191</v>
      </c>
      <c r="AK153" s="36" t="str">
        <f t="shared" si="23"/>
        <v/>
      </c>
      <c r="AL153" t="str">
        <f t="shared" si="30"/>
        <v/>
      </c>
      <c r="AM153" t="s">
        <v>393</v>
      </c>
      <c r="AN153">
        <f t="shared" si="24"/>
        <v>23</v>
      </c>
      <c r="AO153" t="str">
        <f t="shared" si="25"/>
        <v>1.5.---14.5.---24.5.</v>
      </c>
      <c r="AP153" t="str">
        <f t="shared" si="26"/>
        <v>Rantakurvi</v>
      </c>
      <c r="AQ153" t="str">
        <f t="shared" si="31"/>
        <v>(1.5.---14.5.---24.5.)</v>
      </c>
    </row>
    <row r="154" spans="1:43" x14ac:dyDescent="0.2">
      <c r="A154" s="1"/>
      <c r="B154" s="9">
        <f t="shared" si="22"/>
        <v>149</v>
      </c>
      <c r="C154" s="10"/>
      <c r="D154" s="9" t="s">
        <v>148</v>
      </c>
      <c r="E154" s="10"/>
      <c r="F154" s="11">
        <v>43574</v>
      </c>
      <c r="G154" s="12">
        <v>43582</v>
      </c>
      <c r="H154" s="11">
        <v>43583</v>
      </c>
      <c r="I154" s="12">
        <v>43582</v>
      </c>
      <c r="J154" s="11">
        <v>43576</v>
      </c>
      <c r="K154" s="12">
        <v>43569</v>
      </c>
      <c r="L154" s="11">
        <v>43582</v>
      </c>
      <c r="M154" s="12">
        <v>43581</v>
      </c>
      <c r="N154" s="11">
        <v>43581</v>
      </c>
      <c r="O154" s="12">
        <v>43581</v>
      </c>
      <c r="P154" s="11">
        <v>43583</v>
      </c>
      <c r="Q154" s="12">
        <v>43584</v>
      </c>
      <c r="R154" s="11">
        <v>43581</v>
      </c>
      <c r="S154" s="12">
        <v>43580</v>
      </c>
      <c r="T154" s="11">
        <v>43577</v>
      </c>
      <c r="U154" s="12">
        <v>43584</v>
      </c>
      <c r="V154" s="11">
        <v>43579</v>
      </c>
      <c r="W154" s="12">
        <v>43588</v>
      </c>
      <c r="X154" s="11">
        <v>43583</v>
      </c>
      <c r="Y154" s="12">
        <v>43575</v>
      </c>
      <c r="Z154" s="11">
        <v>43580</v>
      </c>
      <c r="AA154" s="12">
        <v>43574</v>
      </c>
      <c r="AB154" s="11">
        <v>43591</v>
      </c>
      <c r="AC154" s="12">
        <v>43581</v>
      </c>
      <c r="AD154" s="34"/>
      <c r="AE154" s="33">
        <f t="shared" si="27"/>
        <v>43569</v>
      </c>
      <c r="AF154" s="33">
        <f t="shared" si="28"/>
        <v>43581</v>
      </c>
      <c r="AG154" s="33">
        <f t="shared" si="29"/>
        <v>43588</v>
      </c>
      <c r="AH154">
        <v>192</v>
      </c>
      <c r="AK154" s="36" t="str">
        <f t="shared" si="23"/>
        <v/>
      </c>
      <c r="AL154" t="str">
        <f t="shared" si="30"/>
        <v/>
      </c>
      <c r="AM154" t="s">
        <v>393</v>
      </c>
      <c r="AN154">
        <f t="shared" si="24"/>
        <v>19</v>
      </c>
      <c r="AO154" t="str">
        <f t="shared" si="25"/>
        <v>14.4.---26.4.---3.5.</v>
      </c>
      <c r="AP154" t="str">
        <f t="shared" si="26"/>
        <v>Rantasipi</v>
      </c>
      <c r="AQ154" t="str">
        <f t="shared" si="31"/>
        <v>(14.4.---26.4.---3.5.)</v>
      </c>
    </row>
    <row r="155" spans="1:43" x14ac:dyDescent="0.2">
      <c r="A155" s="1"/>
      <c r="B155" s="9">
        <f t="shared" si="22"/>
        <v>150</v>
      </c>
      <c r="C155" s="10"/>
      <c r="D155" s="15" t="s">
        <v>149</v>
      </c>
      <c r="E155" s="16"/>
      <c r="F155" s="11"/>
      <c r="G155" s="12"/>
      <c r="H155" s="11"/>
      <c r="I155" s="12"/>
      <c r="J155" s="11"/>
      <c r="K155" s="12"/>
      <c r="L155" s="11"/>
      <c r="M155" s="12"/>
      <c r="N155" s="11"/>
      <c r="O155" s="12"/>
      <c r="P155" s="11"/>
      <c r="Q155" s="12"/>
      <c r="R155" s="11"/>
      <c r="S155" s="12"/>
      <c r="T155" s="11"/>
      <c r="U155" s="12"/>
      <c r="V155" s="11"/>
      <c r="W155" s="12"/>
      <c r="X155" s="11"/>
      <c r="Y155" s="12"/>
      <c r="Z155" s="11"/>
      <c r="AA155" s="12"/>
      <c r="AB155" s="11"/>
      <c r="AC155" s="12"/>
      <c r="AD155" s="34"/>
      <c r="AE155" s="33" t="str">
        <f t="shared" si="27"/>
        <v/>
      </c>
      <c r="AF155" s="33" t="str">
        <f t="shared" si="28"/>
        <v/>
      </c>
      <c r="AG155" s="33" t="str">
        <f t="shared" si="29"/>
        <v/>
      </c>
      <c r="AH155">
        <v>193</v>
      </c>
      <c r="AK155" s="36" t="str">
        <f t="shared" si="23"/>
        <v/>
      </c>
      <c r="AL155" t="str">
        <f t="shared" si="30"/>
        <v/>
      </c>
      <c r="AM155" t="s">
        <v>393</v>
      </c>
      <c r="AN155" t="e">
        <f t="shared" si="24"/>
        <v>#VALUE!</v>
      </c>
      <c r="AO155" t="str">
        <f t="shared" si="25"/>
        <v>------</v>
      </c>
      <c r="AP155" t="str">
        <f t="shared" si="26"/>
        <v>Amerikansipi</v>
      </c>
      <c r="AQ155" t="str">
        <f t="shared" si="31"/>
        <v>(------)</v>
      </c>
    </row>
    <row r="156" spans="1:43" x14ac:dyDescent="0.2">
      <c r="A156" s="1"/>
      <c r="B156" s="9">
        <f t="shared" si="22"/>
        <v>151</v>
      </c>
      <c r="C156" s="10"/>
      <c r="D156" s="9" t="s">
        <v>150</v>
      </c>
      <c r="E156" s="10"/>
      <c r="F156" s="11">
        <v>43573</v>
      </c>
      <c r="G156" s="12">
        <v>43577</v>
      </c>
      <c r="H156" s="11">
        <v>43569</v>
      </c>
      <c r="I156" s="12">
        <v>43570</v>
      </c>
      <c r="J156" s="11">
        <v>43571</v>
      </c>
      <c r="K156" s="12">
        <v>43569</v>
      </c>
      <c r="L156" s="11">
        <v>43572</v>
      </c>
      <c r="M156" s="12">
        <v>43568</v>
      </c>
      <c r="N156" s="11">
        <v>43561</v>
      </c>
      <c r="O156" s="12">
        <v>43568</v>
      </c>
      <c r="P156" s="11">
        <v>43563</v>
      </c>
      <c r="Q156" s="12">
        <v>43560</v>
      </c>
      <c r="R156" s="11">
        <v>43569</v>
      </c>
      <c r="S156" s="12">
        <v>43572</v>
      </c>
      <c r="T156" s="11">
        <v>43566</v>
      </c>
      <c r="U156" s="12">
        <v>43560</v>
      </c>
      <c r="V156" s="11">
        <v>43564</v>
      </c>
      <c r="W156" s="12">
        <v>43559</v>
      </c>
      <c r="X156" s="11">
        <v>43573</v>
      </c>
      <c r="Y156" s="12">
        <v>43561</v>
      </c>
      <c r="Z156" s="11">
        <v>43562</v>
      </c>
      <c r="AA156" s="12">
        <v>43572</v>
      </c>
      <c r="AB156" s="11">
        <v>43573</v>
      </c>
      <c r="AC156" s="12">
        <v>43571</v>
      </c>
      <c r="AD156" s="34"/>
      <c r="AE156" s="33">
        <f t="shared" si="27"/>
        <v>43559</v>
      </c>
      <c r="AF156" s="33">
        <f t="shared" si="28"/>
        <v>43568</v>
      </c>
      <c r="AG156" s="33">
        <f t="shared" si="29"/>
        <v>43577</v>
      </c>
      <c r="AH156">
        <v>194</v>
      </c>
      <c r="AK156" s="36" t="str">
        <f t="shared" si="23"/>
        <v/>
      </c>
      <c r="AL156" t="str">
        <f t="shared" si="30"/>
        <v/>
      </c>
      <c r="AM156" t="s">
        <v>393</v>
      </c>
      <c r="AN156">
        <f t="shared" si="24"/>
        <v>18</v>
      </c>
      <c r="AO156" t="str">
        <f t="shared" si="25"/>
        <v>4.4.---13.4.---22.4.</v>
      </c>
      <c r="AP156" t="str">
        <f t="shared" si="26"/>
        <v>Metsäviklo</v>
      </c>
      <c r="AQ156" t="str">
        <f t="shared" si="31"/>
        <v>(4.4.---13.4.---22.4.)</v>
      </c>
    </row>
    <row r="157" spans="1:43" x14ac:dyDescent="0.2">
      <c r="A157" s="1"/>
      <c r="B157" s="9">
        <f t="shared" si="22"/>
        <v>152</v>
      </c>
      <c r="C157" s="10"/>
      <c r="D157" s="9" t="s">
        <v>151</v>
      </c>
      <c r="E157" s="10"/>
      <c r="F157" s="11">
        <v>43560</v>
      </c>
      <c r="G157" s="12">
        <v>43583</v>
      </c>
      <c r="H157" s="11">
        <v>43582</v>
      </c>
      <c r="I157" s="12">
        <v>43581</v>
      </c>
      <c r="J157" s="11">
        <v>43577</v>
      </c>
      <c r="K157" s="12">
        <v>43586</v>
      </c>
      <c r="L157" s="11">
        <v>43583</v>
      </c>
      <c r="M157" s="12">
        <v>43578</v>
      </c>
      <c r="N157" s="11">
        <v>43581</v>
      </c>
      <c r="O157" s="12">
        <v>43582</v>
      </c>
      <c r="P157" s="11">
        <v>43586</v>
      </c>
      <c r="Q157" s="12">
        <v>43580</v>
      </c>
      <c r="R157" s="11">
        <v>43583</v>
      </c>
      <c r="S157" s="12">
        <v>43583</v>
      </c>
      <c r="T157" s="11">
        <v>43581</v>
      </c>
      <c r="U157" s="12">
        <v>43577</v>
      </c>
      <c r="V157" s="11">
        <v>43582</v>
      </c>
      <c r="W157" s="12">
        <v>43587</v>
      </c>
      <c r="X157" s="11">
        <v>43577</v>
      </c>
      <c r="Y157" s="12">
        <v>43577</v>
      </c>
      <c r="Z157" s="11">
        <v>43579</v>
      </c>
      <c r="AA157" s="12">
        <v>43587</v>
      </c>
      <c r="AB157" s="11">
        <v>43587</v>
      </c>
      <c r="AC157" s="12">
        <v>43584</v>
      </c>
      <c r="AD157" s="34"/>
      <c r="AE157" s="33">
        <f t="shared" si="27"/>
        <v>43560</v>
      </c>
      <c r="AF157" s="33">
        <f t="shared" si="28"/>
        <v>43581</v>
      </c>
      <c r="AG157" s="33">
        <f t="shared" si="29"/>
        <v>43587</v>
      </c>
      <c r="AH157">
        <v>195</v>
      </c>
      <c r="AK157" s="36" t="str">
        <f t="shared" si="23"/>
        <v/>
      </c>
      <c r="AL157" t="str">
        <f t="shared" si="30"/>
        <v/>
      </c>
      <c r="AM157" t="s">
        <v>393</v>
      </c>
      <c r="AN157">
        <f t="shared" si="24"/>
        <v>27</v>
      </c>
      <c r="AO157" t="str">
        <f t="shared" si="25"/>
        <v>5.4.---26.4.---2.5.</v>
      </c>
      <c r="AP157" t="str">
        <f t="shared" si="26"/>
        <v>Mustaviklo</v>
      </c>
      <c r="AQ157" t="str">
        <f t="shared" si="31"/>
        <v>(5.4.---26.4.---2.5.)</v>
      </c>
    </row>
    <row r="158" spans="1:43" x14ac:dyDescent="0.2">
      <c r="A158" s="1"/>
      <c r="B158" s="9">
        <f t="shared" si="22"/>
        <v>153</v>
      </c>
      <c r="C158" s="10"/>
      <c r="D158" s="9" t="s">
        <v>152</v>
      </c>
      <c r="E158" s="10"/>
      <c r="F158" s="11">
        <v>43576</v>
      </c>
      <c r="G158" s="12">
        <v>43580</v>
      </c>
      <c r="H158" s="11">
        <v>43577</v>
      </c>
      <c r="I158" s="12">
        <v>43575</v>
      </c>
      <c r="J158" s="11">
        <v>43574</v>
      </c>
      <c r="K158" s="12">
        <v>43575</v>
      </c>
      <c r="L158" s="11">
        <v>43573</v>
      </c>
      <c r="M158" s="12">
        <v>43572</v>
      </c>
      <c r="N158" s="11">
        <v>43577</v>
      </c>
      <c r="O158" s="12">
        <v>43579</v>
      </c>
      <c r="P158" s="11">
        <v>43576</v>
      </c>
      <c r="Q158" s="12">
        <v>43577</v>
      </c>
      <c r="R158" s="11">
        <v>43577</v>
      </c>
      <c r="S158" s="12">
        <v>43576</v>
      </c>
      <c r="T158" s="11">
        <v>43573</v>
      </c>
      <c r="U158" s="12">
        <v>43573</v>
      </c>
      <c r="V158" s="11">
        <v>43567</v>
      </c>
      <c r="W158" s="12">
        <v>43576</v>
      </c>
      <c r="X158" s="11">
        <v>43578</v>
      </c>
      <c r="Y158" s="12">
        <v>43576</v>
      </c>
      <c r="Z158" s="11">
        <v>43573</v>
      </c>
      <c r="AA158" s="12">
        <v>43572</v>
      </c>
      <c r="AB158" s="11">
        <v>43579</v>
      </c>
      <c r="AC158" s="12">
        <v>43581</v>
      </c>
      <c r="AD158" s="34"/>
      <c r="AE158" s="33">
        <f t="shared" si="27"/>
        <v>43567</v>
      </c>
      <c r="AF158" s="33">
        <f t="shared" si="28"/>
        <v>43576</v>
      </c>
      <c r="AG158" s="33">
        <f t="shared" si="29"/>
        <v>43580</v>
      </c>
      <c r="AH158">
        <v>196</v>
      </c>
      <c r="AK158" s="36" t="str">
        <f t="shared" si="23"/>
        <v/>
      </c>
      <c r="AL158" t="str">
        <f t="shared" si="30"/>
        <v/>
      </c>
      <c r="AM158" t="s">
        <v>393</v>
      </c>
      <c r="AN158">
        <f t="shared" si="24"/>
        <v>13</v>
      </c>
      <c r="AO158" t="str">
        <f t="shared" si="25"/>
        <v>12.4.---21.4.---25.4.</v>
      </c>
      <c r="AP158" t="str">
        <f t="shared" si="26"/>
        <v>Valkoviklo</v>
      </c>
      <c r="AQ158" t="str">
        <f t="shared" si="31"/>
        <v>(12.4.---21.4.---25.4.)</v>
      </c>
    </row>
    <row r="159" spans="1:43" x14ac:dyDescent="0.2">
      <c r="A159" s="1"/>
      <c r="B159" s="9">
        <f t="shared" si="22"/>
        <v>154</v>
      </c>
      <c r="C159" s="10"/>
      <c r="D159" s="15" t="s">
        <v>153</v>
      </c>
      <c r="E159" s="16"/>
      <c r="F159" s="11"/>
      <c r="G159" s="12"/>
      <c r="H159" s="11"/>
      <c r="I159" s="12"/>
      <c r="J159" s="11"/>
      <c r="K159" s="12"/>
      <c r="L159" s="11"/>
      <c r="M159" s="12"/>
      <c r="N159" s="11"/>
      <c r="O159" s="12"/>
      <c r="P159" s="11"/>
      <c r="Q159" s="12"/>
      <c r="R159" s="11"/>
      <c r="S159" s="12"/>
      <c r="T159" s="11"/>
      <c r="U159" s="12"/>
      <c r="V159" s="11"/>
      <c r="W159" s="12"/>
      <c r="X159" s="11"/>
      <c r="Y159" s="12"/>
      <c r="Z159" s="11"/>
      <c r="AA159" s="12">
        <v>43611</v>
      </c>
      <c r="AB159" s="11"/>
      <c r="AC159" s="12"/>
      <c r="AD159" s="34"/>
      <c r="AE159" s="33" t="str">
        <f t="shared" si="27"/>
        <v/>
      </c>
      <c r="AF159" s="33" t="str">
        <f t="shared" si="28"/>
        <v/>
      </c>
      <c r="AG159" s="33" t="str">
        <f t="shared" si="29"/>
        <v/>
      </c>
      <c r="AH159">
        <v>197</v>
      </c>
      <c r="AK159" s="36" t="str">
        <f t="shared" si="23"/>
        <v/>
      </c>
      <c r="AL159" t="str">
        <f t="shared" si="30"/>
        <v/>
      </c>
      <c r="AM159" t="s">
        <v>393</v>
      </c>
      <c r="AN159" t="e">
        <f t="shared" si="24"/>
        <v>#VALUE!</v>
      </c>
      <c r="AO159" t="str">
        <f t="shared" si="25"/>
        <v>------</v>
      </c>
      <c r="AP159" t="str">
        <f t="shared" si="26"/>
        <v>Keltajalkaviklo</v>
      </c>
      <c r="AQ159" t="str">
        <f t="shared" si="31"/>
        <v>(------)</v>
      </c>
    </row>
    <row r="160" spans="1:43" x14ac:dyDescent="0.2">
      <c r="A160" s="1"/>
      <c r="B160" s="9">
        <f t="shared" si="22"/>
        <v>155</v>
      </c>
      <c r="C160" s="10"/>
      <c r="D160" s="9" t="s">
        <v>154</v>
      </c>
      <c r="E160" s="10"/>
      <c r="F160" s="11"/>
      <c r="G160" s="12"/>
      <c r="H160" s="11"/>
      <c r="I160" s="12">
        <v>43589</v>
      </c>
      <c r="J160" s="11">
        <v>43632</v>
      </c>
      <c r="K160" s="12">
        <v>43608</v>
      </c>
      <c r="L160" s="11">
        <v>43584</v>
      </c>
      <c r="M160" s="12">
        <v>43597</v>
      </c>
      <c r="N160" s="11">
        <v>43587</v>
      </c>
      <c r="O160" s="12">
        <v>43582</v>
      </c>
      <c r="P160" s="11">
        <v>43587</v>
      </c>
      <c r="Q160" s="12">
        <v>43592</v>
      </c>
      <c r="R160" s="11">
        <v>43591</v>
      </c>
      <c r="S160" s="12">
        <v>43590</v>
      </c>
      <c r="T160" s="11">
        <v>43596</v>
      </c>
      <c r="U160" s="12">
        <v>43584</v>
      </c>
      <c r="V160" s="11">
        <v>43591</v>
      </c>
      <c r="W160" s="12">
        <v>43598</v>
      </c>
      <c r="X160" s="11">
        <v>43591</v>
      </c>
      <c r="Y160" s="12">
        <v>43598</v>
      </c>
      <c r="Z160" s="11">
        <v>43593</v>
      </c>
      <c r="AA160" s="12">
        <v>43587</v>
      </c>
      <c r="AB160" s="11">
        <v>43609</v>
      </c>
      <c r="AC160" s="12">
        <v>43583</v>
      </c>
      <c r="AD160" s="34"/>
      <c r="AE160" s="33">
        <f t="shared" si="27"/>
        <v>43582</v>
      </c>
      <c r="AF160" s="33">
        <f t="shared" si="28"/>
        <v>43591</v>
      </c>
      <c r="AG160" s="33">
        <f t="shared" si="29"/>
        <v>43632</v>
      </c>
      <c r="AH160">
        <v>199</v>
      </c>
      <c r="AK160" s="36" t="str">
        <f t="shared" si="23"/>
        <v/>
      </c>
      <c r="AL160" t="str">
        <f t="shared" si="30"/>
        <v/>
      </c>
      <c r="AM160" t="s">
        <v>393</v>
      </c>
      <c r="AN160">
        <f t="shared" si="24"/>
        <v>50</v>
      </c>
      <c r="AO160" t="str">
        <f t="shared" si="25"/>
        <v>27.4.---6.5.---16.6.</v>
      </c>
      <c r="AP160" t="str">
        <f t="shared" si="26"/>
        <v>Lampiviklo</v>
      </c>
      <c r="AQ160" t="str">
        <f t="shared" si="31"/>
        <v>(27.4.---6.5.---16.6.)</v>
      </c>
    </row>
    <row r="161" spans="1:43" x14ac:dyDescent="0.2">
      <c r="A161" s="1"/>
      <c r="B161" s="9">
        <f t="shared" si="22"/>
        <v>156</v>
      </c>
      <c r="C161" s="10"/>
      <c r="D161" s="9" t="s">
        <v>155</v>
      </c>
      <c r="E161" s="10"/>
      <c r="F161" s="11">
        <v>43582</v>
      </c>
      <c r="G161" s="12"/>
      <c r="H161" s="11">
        <v>43580</v>
      </c>
      <c r="I161" s="12">
        <v>43583</v>
      </c>
      <c r="J161" s="11">
        <v>43582</v>
      </c>
      <c r="K161" s="12">
        <v>43579</v>
      </c>
      <c r="L161" s="11">
        <v>43579</v>
      </c>
      <c r="M161" s="12">
        <v>43581</v>
      </c>
      <c r="N161" s="11">
        <v>43581</v>
      </c>
      <c r="O161" s="12">
        <v>43581</v>
      </c>
      <c r="P161" s="11">
        <v>43574</v>
      </c>
      <c r="Q161" s="12">
        <v>43572</v>
      </c>
      <c r="R161" s="11">
        <v>43578</v>
      </c>
      <c r="S161" s="12">
        <v>43577</v>
      </c>
      <c r="T161" s="11">
        <v>43573</v>
      </c>
      <c r="U161" s="12">
        <v>43577</v>
      </c>
      <c r="V161" s="11">
        <v>43583</v>
      </c>
      <c r="W161" s="12">
        <v>43585</v>
      </c>
      <c r="X161" s="11">
        <v>43582</v>
      </c>
      <c r="Y161" s="12">
        <v>43579</v>
      </c>
      <c r="Z161" s="11">
        <v>43577</v>
      </c>
      <c r="AA161" s="12">
        <v>43573</v>
      </c>
      <c r="AB161" s="11">
        <v>43573</v>
      </c>
      <c r="AC161" s="12">
        <v>43578</v>
      </c>
      <c r="AD161" s="34"/>
      <c r="AE161" s="33">
        <f t="shared" si="27"/>
        <v>43572</v>
      </c>
      <c r="AF161" s="33">
        <f t="shared" si="28"/>
        <v>43579.5</v>
      </c>
      <c r="AG161" s="33">
        <f t="shared" si="29"/>
        <v>43585</v>
      </c>
      <c r="AH161">
        <v>200</v>
      </c>
      <c r="AK161" s="36" t="str">
        <f t="shared" si="23"/>
        <v/>
      </c>
      <c r="AL161" t="str">
        <f t="shared" si="30"/>
        <v/>
      </c>
      <c r="AM161" t="s">
        <v>393</v>
      </c>
      <c r="AN161">
        <f t="shared" si="24"/>
        <v>13</v>
      </c>
      <c r="AO161" t="str">
        <f t="shared" si="25"/>
        <v>17.4.---24.4.---30.4.</v>
      </c>
      <c r="AP161" t="str">
        <f t="shared" si="26"/>
        <v>Liro</v>
      </c>
      <c r="AQ161" t="str">
        <f t="shared" si="31"/>
        <v>(17.4.---24.4.---30.4.)</v>
      </c>
    </row>
    <row r="162" spans="1:43" x14ac:dyDescent="0.2">
      <c r="A162" s="1"/>
      <c r="B162" s="9">
        <f t="shared" si="22"/>
        <v>157</v>
      </c>
      <c r="C162" s="10"/>
      <c r="D162" s="9" t="s">
        <v>156</v>
      </c>
      <c r="E162" s="10"/>
      <c r="F162" s="11">
        <v>43573</v>
      </c>
      <c r="G162" s="12">
        <v>43576</v>
      </c>
      <c r="H162" s="11">
        <v>43575</v>
      </c>
      <c r="I162" s="12">
        <v>43576</v>
      </c>
      <c r="J162" s="11">
        <v>43572</v>
      </c>
      <c r="K162" s="12">
        <v>43560</v>
      </c>
      <c r="L162" s="11">
        <v>43575</v>
      </c>
      <c r="M162" s="12">
        <v>43571</v>
      </c>
      <c r="N162" s="11">
        <v>43575</v>
      </c>
      <c r="O162" s="12">
        <v>43576</v>
      </c>
      <c r="P162" s="11">
        <v>43568</v>
      </c>
      <c r="Q162" s="12">
        <v>43574</v>
      </c>
      <c r="R162" s="11">
        <v>43574</v>
      </c>
      <c r="S162" s="12">
        <v>43575</v>
      </c>
      <c r="T162" s="11">
        <v>43568</v>
      </c>
      <c r="U162" s="12">
        <v>43574</v>
      </c>
      <c r="V162" s="11">
        <v>43571</v>
      </c>
      <c r="W162" s="12">
        <v>43567</v>
      </c>
      <c r="X162" s="11">
        <v>43576</v>
      </c>
      <c r="Y162" s="12">
        <v>43561</v>
      </c>
      <c r="Z162" s="11">
        <v>43574</v>
      </c>
      <c r="AA162" s="12">
        <v>43576</v>
      </c>
      <c r="AB162" s="11">
        <v>43573</v>
      </c>
      <c r="AC162" s="12">
        <v>43567</v>
      </c>
      <c r="AD162" s="34"/>
      <c r="AE162" s="33">
        <f t="shared" si="27"/>
        <v>43560</v>
      </c>
      <c r="AF162" s="33">
        <f t="shared" si="28"/>
        <v>43574</v>
      </c>
      <c r="AG162" s="33">
        <f t="shared" si="29"/>
        <v>43576</v>
      </c>
      <c r="AH162">
        <v>201</v>
      </c>
      <c r="AK162" s="36" t="str">
        <f t="shared" si="23"/>
        <v/>
      </c>
      <c r="AL162" t="str">
        <f t="shared" si="30"/>
        <v/>
      </c>
      <c r="AM162" t="s">
        <v>393</v>
      </c>
      <c r="AN162">
        <f t="shared" si="24"/>
        <v>16</v>
      </c>
      <c r="AO162" t="str">
        <f t="shared" si="25"/>
        <v>5.4.---19.4.---21.4.</v>
      </c>
      <c r="AP162" t="str">
        <f t="shared" si="26"/>
        <v>Punajalkaviklo</v>
      </c>
      <c r="AQ162" t="str">
        <f t="shared" si="31"/>
        <v>(5.4.---19.4.---21.4.)</v>
      </c>
    </row>
    <row r="163" spans="1:43" x14ac:dyDescent="0.2">
      <c r="A163" s="1"/>
      <c r="B163" s="9">
        <f t="shared" si="22"/>
        <v>158</v>
      </c>
      <c r="C163" s="10"/>
      <c r="D163" s="9" t="s">
        <v>157</v>
      </c>
      <c r="E163" s="10"/>
      <c r="F163" s="11">
        <v>43579</v>
      </c>
      <c r="G163" s="12">
        <v>43580</v>
      </c>
      <c r="H163" s="11">
        <v>43575</v>
      </c>
      <c r="I163" s="12">
        <v>43587</v>
      </c>
      <c r="J163" s="11">
        <v>43587</v>
      </c>
      <c r="K163" s="12">
        <v>43575</v>
      </c>
      <c r="L163" s="11">
        <v>43582</v>
      </c>
      <c r="M163" s="12">
        <v>43583</v>
      </c>
      <c r="N163" s="11">
        <v>43585</v>
      </c>
      <c r="O163" s="12">
        <v>43587</v>
      </c>
      <c r="P163" s="11">
        <v>43577</v>
      </c>
      <c r="Q163" s="12">
        <v>43584</v>
      </c>
      <c r="R163" s="11">
        <v>43583</v>
      </c>
      <c r="S163" s="12">
        <v>43584</v>
      </c>
      <c r="T163" s="11">
        <v>43576</v>
      </c>
      <c r="U163" s="12">
        <v>43566</v>
      </c>
      <c r="V163" s="11">
        <v>43583</v>
      </c>
      <c r="W163" s="12">
        <v>43590</v>
      </c>
      <c r="X163" s="11">
        <v>43591</v>
      </c>
      <c r="Y163" s="12">
        <v>43580</v>
      </c>
      <c r="Z163" s="11">
        <v>43575</v>
      </c>
      <c r="AA163" s="12">
        <v>43583</v>
      </c>
      <c r="AB163" s="11">
        <v>43596</v>
      </c>
      <c r="AC163" s="12">
        <v>43592</v>
      </c>
      <c r="AD163" s="34"/>
      <c r="AE163" s="33">
        <f t="shared" si="27"/>
        <v>43566</v>
      </c>
      <c r="AF163" s="33">
        <f t="shared" si="28"/>
        <v>43583</v>
      </c>
      <c r="AG163" s="33">
        <f t="shared" si="29"/>
        <v>43591</v>
      </c>
      <c r="AH163">
        <v>202</v>
      </c>
      <c r="AK163" s="36" t="str">
        <f t="shared" si="23"/>
        <v/>
      </c>
      <c r="AL163" t="str">
        <f t="shared" si="30"/>
        <v/>
      </c>
      <c r="AM163" t="s">
        <v>393</v>
      </c>
      <c r="AN163">
        <f t="shared" si="24"/>
        <v>25</v>
      </c>
      <c r="AO163" t="str">
        <f t="shared" si="25"/>
        <v>11.4.---28.4.---6.5.</v>
      </c>
      <c r="AP163" t="str">
        <f t="shared" si="26"/>
        <v>Jänkäkurppa</v>
      </c>
      <c r="AQ163" t="str">
        <f t="shared" si="31"/>
        <v>(11.4.---28.4.---6.5.)</v>
      </c>
    </row>
    <row r="164" spans="1:43" x14ac:dyDescent="0.2">
      <c r="A164" s="1"/>
      <c r="B164" s="9">
        <f t="shared" si="22"/>
        <v>159</v>
      </c>
      <c r="C164" s="10"/>
      <c r="D164" s="15" t="s">
        <v>158</v>
      </c>
      <c r="E164" s="16"/>
      <c r="F164" s="11"/>
      <c r="G164" s="12"/>
      <c r="H164" s="11"/>
      <c r="I164" s="12"/>
      <c r="J164" s="11"/>
      <c r="K164" s="12"/>
      <c r="L164" s="11"/>
      <c r="M164" s="12"/>
      <c r="N164" s="11"/>
      <c r="O164" s="12"/>
      <c r="P164" s="11"/>
      <c r="Q164" s="12"/>
      <c r="R164" s="11"/>
      <c r="S164" s="12">
        <v>43598</v>
      </c>
      <c r="T164" s="11"/>
      <c r="U164" s="12"/>
      <c r="V164" s="11"/>
      <c r="W164" s="12"/>
      <c r="X164" s="11"/>
      <c r="Y164" s="12"/>
      <c r="Z164" s="11">
        <v>43733</v>
      </c>
      <c r="AA164" s="12"/>
      <c r="AB164" s="11"/>
      <c r="AC164" s="12"/>
      <c r="AD164" s="34"/>
      <c r="AE164" s="33">
        <f t="shared" si="27"/>
        <v>43598</v>
      </c>
      <c r="AF164" s="33">
        <f t="shared" si="28"/>
        <v>43665.5</v>
      </c>
      <c r="AG164" s="33">
        <f t="shared" si="29"/>
        <v>43733</v>
      </c>
      <c r="AH164">
        <v>203</v>
      </c>
      <c r="AK164" s="36" t="str">
        <f t="shared" si="23"/>
        <v/>
      </c>
      <c r="AL164" t="str">
        <f t="shared" si="30"/>
        <v/>
      </c>
      <c r="AM164" t="s">
        <v>393</v>
      </c>
      <c r="AN164">
        <f t="shared" si="24"/>
        <v>135</v>
      </c>
      <c r="AO164" t="str">
        <f t="shared" si="25"/>
        <v>13.5.---19.7.---25.9.</v>
      </c>
      <c r="AP164" t="str">
        <f t="shared" si="26"/>
        <v>Tundrakurppelo</v>
      </c>
      <c r="AQ164" t="str">
        <f t="shared" si="31"/>
        <v>(13.5.---19.7.---25.9.)</v>
      </c>
    </row>
    <row r="165" spans="1:43" x14ac:dyDescent="0.2">
      <c r="A165" s="1"/>
      <c r="B165" s="9">
        <f t="shared" si="22"/>
        <v>160</v>
      </c>
      <c r="C165" s="10"/>
      <c r="D165" s="9" t="s">
        <v>159</v>
      </c>
      <c r="E165" s="10"/>
      <c r="F165" s="11">
        <v>43573</v>
      </c>
      <c r="G165" s="12">
        <v>43557</v>
      </c>
      <c r="H165" s="11">
        <v>43550</v>
      </c>
      <c r="I165" s="12">
        <v>43569</v>
      </c>
      <c r="J165" s="11">
        <v>43568</v>
      </c>
      <c r="K165" s="12">
        <v>43556</v>
      </c>
      <c r="L165" s="11">
        <v>43564</v>
      </c>
      <c r="M165" s="12">
        <v>43555</v>
      </c>
      <c r="N165" s="11">
        <v>43558</v>
      </c>
      <c r="O165" s="12">
        <v>43565</v>
      </c>
      <c r="P165" s="11">
        <v>43561</v>
      </c>
      <c r="Q165" s="12">
        <v>43559</v>
      </c>
      <c r="R165" s="11">
        <v>43564</v>
      </c>
      <c r="S165" s="12">
        <v>43572</v>
      </c>
      <c r="T165" s="11">
        <f>IF(AG1,DATE(2019,1,15),DATE(2019,3,30))</f>
        <v>43554</v>
      </c>
      <c r="U165" s="12">
        <v>43553</v>
      </c>
      <c r="V165" s="11">
        <v>43553</v>
      </c>
      <c r="W165" s="12">
        <v>43566</v>
      </c>
      <c r="X165" s="11">
        <v>43572</v>
      </c>
      <c r="Y165" s="12">
        <v>43564</v>
      </c>
      <c r="Z165" s="11">
        <v>43552</v>
      </c>
      <c r="AA165" s="12">
        <f>IF(AG1,DATE(2019,1,4),DATE(2019,3,26))</f>
        <v>43550</v>
      </c>
      <c r="AB165" s="11">
        <v>43567</v>
      </c>
      <c r="AC165" s="12">
        <v>43484</v>
      </c>
      <c r="AD165" s="34"/>
      <c r="AE165" s="33">
        <f t="shared" si="27"/>
        <v>43550</v>
      </c>
      <c r="AF165" s="33">
        <f t="shared" si="28"/>
        <v>43561</v>
      </c>
      <c r="AG165" s="33">
        <f t="shared" si="29"/>
        <v>43573</v>
      </c>
      <c r="AH165">
        <v>204</v>
      </c>
      <c r="AK165" s="36" t="str">
        <f t="shared" si="23"/>
        <v/>
      </c>
      <c r="AL165" t="str">
        <f t="shared" si="30"/>
        <v/>
      </c>
      <c r="AM165">
        <v>1</v>
      </c>
      <c r="AN165">
        <f t="shared" si="24"/>
        <v>23</v>
      </c>
      <c r="AO165" t="str">
        <f t="shared" si="25"/>
        <v>26.3.---6.4.---18.4.</v>
      </c>
      <c r="AP165" t="str">
        <f t="shared" si="26"/>
        <v>Lehtokurppa</v>
      </c>
      <c r="AQ165" t="str">
        <f t="shared" si="31"/>
        <v>(26.3.---6.4.---18.4., 1/21)</v>
      </c>
    </row>
    <row r="166" spans="1:43" x14ac:dyDescent="0.2">
      <c r="A166" s="1"/>
      <c r="B166" s="9">
        <f t="shared" si="22"/>
        <v>161</v>
      </c>
      <c r="C166" s="10"/>
      <c r="D166" s="9" t="s">
        <v>160</v>
      </c>
      <c r="E166" s="10"/>
      <c r="F166" s="11">
        <v>43571</v>
      </c>
      <c r="G166" s="12">
        <v>43563</v>
      </c>
      <c r="H166" s="11">
        <v>43561</v>
      </c>
      <c r="I166" s="12">
        <v>43570</v>
      </c>
      <c r="J166" s="11">
        <v>43559</v>
      </c>
      <c r="K166" s="12">
        <v>43561</v>
      </c>
      <c r="L166" s="11">
        <v>43562</v>
      </c>
      <c r="M166" s="12">
        <v>43561</v>
      </c>
      <c r="N166" s="11">
        <v>43561</v>
      </c>
      <c r="O166" s="12">
        <v>43567</v>
      </c>
      <c r="P166" s="11">
        <v>43566</v>
      </c>
      <c r="Q166" s="12">
        <v>43567</v>
      </c>
      <c r="R166" s="11">
        <v>43569</v>
      </c>
      <c r="S166" s="12">
        <v>43557</v>
      </c>
      <c r="T166" s="11">
        <v>43564</v>
      </c>
      <c r="U166" s="12">
        <v>43560</v>
      </c>
      <c r="V166" s="11">
        <v>43551</v>
      </c>
      <c r="W166" s="12">
        <v>43559</v>
      </c>
      <c r="X166" s="11">
        <v>43570</v>
      </c>
      <c r="Y166" s="12">
        <v>43560</v>
      </c>
      <c r="Z166" s="11">
        <v>43562</v>
      </c>
      <c r="AA166" s="12">
        <v>43568</v>
      </c>
      <c r="AB166" s="11">
        <v>43569</v>
      </c>
      <c r="AC166" s="12">
        <v>43574</v>
      </c>
      <c r="AD166" s="34"/>
      <c r="AE166" s="33">
        <f t="shared" si="27"/>
        <v>43551</v>
      </c>
      <c r="AF166" s="33">
        <f t="shared" si="28"/>
        <v>43562</v>
      </c>
      <c r="AG166" s="33">
        <f t="shared" si="29"/>
        <v>43571</v>
      </c>
      <c r="AH166">
        <v>205</v>
      </c>
      <c r="AK166" s="36" t="str">
        <f t="shared" si="23"/>
        <v/>
      </c>
      <c r="AL166" t="str">
        <f t="shared" si="30"/>
        <v/>
      </c>
      <c r="AM166" t="s">
        <v>393</v>
      </c>
      <c r="AN166">
        <f t="shared" si="24"/>
        <v>20</v>
      </c>
      <c r="AO166" t="str">
        <f t="shared" si="25"/>
        <v>27.3.---7.4.---16.4.</v>
      </c>
      <c r="AP166" t="str">
        <f t="shared" si="26"/>
        <v>Taivaanvuohi</v>
      </c>
      <c r="AQ166" t="str">
        <f t="shared" si="31"/>
        <v>(27.3.---7.4.---16.4.)</v>
      </c>
    </row>
    <row r="167" spans="1:43" x14ac:dyDescent="0.2">
      <c r="A167" s="1"/>
      <c r="B167" s="9">
        <f t="shared" si="22"/>
        <v>162</v>
      </c>
      <c r="C167" s="10"/>
      <c r="D167" s="9" t="s">
        <v>161</v>
      </c>
      <c r="E167" s="10"/>
      <c r="F167" s="11"/>
      <c r="G167" s="12"/>
      <c r="H167" s="11"/>
      <c r="I167" s="12">
        <v>43721</v>
      </c>
      <c r="J167" s="11">
        <v>43716</v>
      </c>
      <c r="K167" s="12"/>
      <c r="L167" s="11">
        <v>43582</v>
      </c>
      <c r="M167" s="12"/>
      <c r="N167" s="11">
        <v>43728</v>
      </c>
      <c r="O167" s="12">
        <v>43609</v>
      </c>
      <c r="P167" s="11">
        <v>43666</v>
      </c>
      <c r="Q167" s="12">
        <v>43715</v>
      </c>
      <c r="R167" s="11">
        <v>43715</v>
      </c>
      <c r="S167" s="12">
        <v>43722</v>
      </c>
      <c r="T167" s="11">
        <v>43720</v>
      </c>
      <c r="U167" s="12">
        <v>43701</v>
      </c>
      <c r="V167" s="11">
        <v>43633</v>
      </c>
      <c r="W167" s="12">
        <v>43723</v>
      </c>
      <c r="X167" s="11"/>
      <c r="Y167" s="12">
        <v>43741</v>
      </c>
      <c r="Z167" s="11">
        <v>43719</v>
      </c>
      <c r="AA167" s="12">
        <v>43739</v>
      </c>
      <c r="AB167" s="11">
        <v>43712</v>
      </c>
      <c r="AC167" s="12">
        <v>43730</v>
      </c>
      <c r="AD167" s="34"/>
      <c r="AE167" s="33">
        <f t="shared" si="27"/>
        <v>43582</v>
      </c>
      <c r="AF167" s="33">
        <f t="shared" si="28"/>
        <v>43716</v>
      </c>
      <c r="AG167" s="33">
        <f t="shared" si="29"/>
        <v>43741</v>
      </c>
      <c r="AH167">
        <v>207</v>
      </c>
      <c r="AK167" s="36" t="str">
        <f t="shared" si="23"/>
        <v/>
      </c>
      <c r="AL167" t="str">
        <f t="shared" si="30"/>
        <v/>
      </c>
      <c r="AM167" t="s">
        <v>393</v>
      </c>
      <c r="AN167">
        <f t="shared" si="24"/>
        <v>159</v>
      </c>
      <c r="AO167" t="str">
        <f t="shared" si="25"/>
        <v>27.4.---8.9.---3.10.</v>
      </c>
      <c r="AP167" t="str">
        <f t="shared" si="26"/>
        <v>Heinäkurppa</v>
      </c>
      <c r="AQ167" t="str">
        <f t="shared" si="31"/>
        <v>(27.4.---8.9.---3.10.)</v>
      </c>
    </row>
    <row r="168" spans="1:43" x14ac:dyDescent="0.2">
      <c r="A168" s="1"/>
      <c r="B168" s="9">
        <f t="shared" si="22"/>
        <v>163</v>
      </c>
      <c r="C168" s="10"/>
      <c r="D168" s="15" t="s">
        <v>387</v>
      </c>
      <c r="E168" s="16"/>
      <c r="F168" s="11"/>
      <c r="G168" s="12"/>
      <c r="H168" s="11"/>
      <c r="I168" s="12"/>
      <c r="J168" s="11"/>
      <c r="K168" s="12"/>
      <c r="L168" s="11"/>
      <c r="M168" s="12"/>
      <c r="N168" s="11"/>
      <c r="O168" s="12"/>
      <c r="P168" s="11"/>
      <c r="Q168" s="12"/>
      <c r="R168" s="11"/>
      <c r="S168" s="12"/>
      <c r="T168" s="11"/>
      <c r="U168" s="12"/>
      <c r="V168" s="11"/>
      <c r="W168" s="12"/>
      <c r="X168" s="11"/>
      <c r="Y168" s="12"/>
      <c r="Z168" s="11"/>
      <c r="AA168" s="12">
        <v>43632</v>
      </c>
      <c r="AB168" s="11"/>
      <c r="AC168" s="12"/>
      <c r="AD168" s="34"/>
      <c r="AE168" s="33" t="str">
        <f t="shared" si="27"/>
        <v/>
      </c>
      <c r="AF168" s="33" t="str">
        <f t="shared" si="28"/>
        <v/>
      </c>
      <c r="AG168" s="33" t="str">
        <f t="shared" si="29"/>
        <v/>
      </c>
      <c r="AH168">
        <v>209</v>
      </c>
      <c r="AK168" s="36" t="str">
        <f t="shared" si="23"/>
        <v/>
      </c>
      <c r="AL168" t="str">
        <f t="shared" si="30"/>
        <v/>
      </c>
      <c r="AM168" t="s">
        <v>393</v>
      </c>
      <c r="AN168" t="e">
        <f t="shared" si="24"/>
        <v>#VALUE!</v>
      </c>
      <c r="AO168" t="str">
        <f t="shared" si="25"/>
        <v>------</v>
      </c>
      <c r="AP168" t="str">
        <f t="shared" si="26"/>
        <v>Pääskykahlaaja</v>
      </c>
      <c r="AQ168" t="str">
        <f t="shared" si="31"/>
        <v>(------)</v>
      </c>
    </row>
    <row r="169" spans="1:43" x14ac:dyDescent="0.2">
      <c r="A169" s="1"/>
      <c r="B169" s="9">
        <f t="shared" si="22"/>
        <v>164</v>
      </c>
      <c r="C169" s="10"/>
      <c r="D169" s="15" t="s">
        <v>162</v>
      </c>
      <c r="E169" s="16"/>
      <c r="F169" s="11"/>
      <c r="G169" s="12"/>
      <c r="H169" s="11"/>
      <c r="I169" s="12"/>
      <c r="J169" s="11"/>
      <c r="K169" s="12"/>
      <c r="L169" s="11"/>
      <c r="M169" s="12"/>
      <c r="N169" s="11"/>
      <c r="O169" s="12"/>
      <c r="P169" s="11"/>
      <c r="Q169" s="12"/>
      <c r="R169" s="11"/>
      <c r="S169" s="12"/>
      <c r="T169" s="11"/>
      <c r="U169" s="12"/>
      <c r="V169" s="11"/>
      <c r="W169" s="12"/>
      <c r="X169" s="11"/>
      <c r="Y169" s="12"/>
      <c r="Z169" s="11"/>
      <c r="AA169" s="12"/>
      <c r="AB169" s="11"/>
      <c r="AC169" s="12"/>
      <c r="AD169" s="34"/>
      <c r="AE169" s="33" t="str">
        <f t="shared" si="27"/>
        <v/>
      </c>
      <c r="AF169" s="33" t="str">
        <f t="shared" si="28"/>
        <v/>
      </c>
      <c r="AG169" s="33" t="str">
        <f t="shared" si="29"/>
        <v/>
      </c>
      <c r="AH169">
        <v>211</v>
      </c>
      <c r="AK169" s="36" t="str">
        <f t="shared" si="23"/>
        <v/>
      </c>
      <c r="AL169" t="str">
        <f t="shared" si="30"/>
        <v/>
      </c>
      <c r="AM169" t="s">
        <v>393</v>
      </c>
      <c r="AN169" t="e">
        <f t="shared" si="24"/>
        <v>#VALUE!</v>
      </c>
      <c r="AO169" t="str">
        <f t="shared" si="25"/>
        <v>------</v>
      </c>
      <c r="AP169" t="str">
        <f t="shared" si="26"/>
        <v>Aropääskykahlaaja</v>
      </c>
      <c r="AQ169" t="str">
        <f t="shared" si="31"/>
        <v>(------)</v>
      </c>
    </row>
    <row r="170" spans="1:43" x14ac:dyDescent="0.2">
      <c r="A170" s="1"/>
      <c r="B170" s="9">
        <f t="shared" si="22"/>
        <v>165</v>
      </c>
      <c r="C170" s="10"/>
      <c r="D170" s="9" t="s">
        <v>163</v>
      </c>
      <c r="E170" s="10"/>
      <c r="F170" s="11"/>
      <c r="G170" s="12"/>
      <c r="H170" s="11"/>
      <c r="I170" s="12"/>
      <c r="J170" s="11">
        <v>43604</v>
      </c>
      <c r="K170" s="12">
        <v>43774</v>
      </c>
      <c r="L170" s="11"/>
      <c r="M170" s="12">
        <v>43625</v>
      </c>
      <c r="N170" s="11">
        <v>43596</v>
      </c>
      <c r="O170" s="12">
        <v>43611</v>
      </c>
      <c r="P170" s="11">
        <v>43607</v>
      </c>
      <c r="Q170" s="12">
        <v>43602</v>
      </c>
      <c r="R170" s="11">
        <v>43604</v>
      </c>
      <c r="S170" s="12">
        <v>43740</v>
      </c>
      <c r="T170" s="11">
        <v>43610</v>
      </c>
      <c r="U170" s="12">
        <v>43600</v>
      </c>
      <c r="V170" s="11">
        <v>43603</v>
      </c>
      <c r="W170" s="12">
        <v>43592</v>
      </c>
      <c r="X170" s="11">
        <v>43742</v>
      </c>
      <c r="Y170" s="12">
        <v>43760</v>
      </c>
      <c r="Z170" s="11"/>
      <c r="AA170" s="12">
        <v>43608</v>
      </c>
      <c r="AB170" s="11">
        <v>43648</v>
      </c>
      <c r="AC170" s="12">
        <v>43603</v>
      </c>
      <c r="AD170" s="34"/>
      <c r="AE170" s="33">
        <f t="shared" si="27"/>
        <v>43592</v>
      </c>
      <c r="AF170" s="33">
        <f t="shared" si="28"/>
        <v>43607</v>
      </c>
      <c r="AG170" s="33">
        <f t="shared" si="29"/>
        <v>43774</v>
      </c>
      <c r="AH170">
        <v>213</v>
      </c>
      <c r="AK170" s="36" t="str">
        <f t="shared" si="23"/>
        <v/>
      </c>
      <c r="AL170" t="str">
        <f t="shared" si="30"/>
        <v/>
      </c>
      <c r="AM170" t="s">
        <v>393</v>
      </c>
      <c r="AN170">
        <f t="shared" si="24"/>
        <v>182</v>
      </c>
      <c r="AO170" t="str">
        <f t="shared" si="25"/>
        <v>7.5.---22.5.---5.11.</v>
      </c>
      <c r="AP170" t="str">
        <f t="shared" si="26"/>
        <v>Leveäpyrstökihu</v>
      </c>
      <c r="AQ170" t="str">
        <f t="shared" si="31"/>
        <v>(7.5.---22.5.---5.11.)</v>
      </c>
    </row>
    <row r="171" spans="1:43" x14ac:dyDescent="0.2">
      <c r="A171" s="1"/>
      <c r="B171" s="9">
        <f t="shared" si="22"/>
        <v>166</v>
      </c>
      <c r="C171" s="10"/>
      <c r="D171" s="9" t="s">
        <v>164</v>
      </c>
      <c r="E171" s="10"/>
      <c r="F171" s="11">
        <v>43591</v>
      </c>
      <c r="G171" s="12">
        <v>43593</v>
      </c>
      <c r="H171" s="11">
        <v>43584</v>
      </c>
      <c r="I171" s="12">
        <v>43588</v>
      </c>
      <c r="J171" s="11">
        <v>43585</v>
      </c>
      <c r="K171" s="12">
        <v>43580</v>
      </c>
      <c r="L171" s="11">
        <v>43581</v>
      </c>
      <c r="M171" s="12">
        <v>43584</v>
      </c>
      <c r="N171" s="11">
        <v>43575</v>
      </c>
      <c r="O171" s="12">
        <v>43587</v>
      </c>
      <c r="P171" s="11">
        <v>43592</v>
      </c>
      <c r="Q171" s="12">
        <v>43588</v>
      </c>
      <c r="R171" s="11">
        <v>43583</v>
      </c>
      <c r="S171" s="12">
        <v>43591</v>
      </c>
      <c r="T171" s="11">
        <v>43581</v>
      </c>
      <c r="U171" s="12">
        <v>43583</v>
      </c>
      <c r="V171" s="11">
        <v>43578</v>
      </c>
      <c r="W171" s="12">
        <v>43588</v>
      </c>
      <c r="X171" s="11">
        <v>43589</v>
      </c>
      <c r="Y171" s="12">
        <v>43583</v>
      </c>
      <c r="Z171" s="11">
        <v>43580</v>
      </c>
      <c r="AA171" s="12">
        <v>43587</v>
      </c>
      <c r="AB171" s="11">
        <v>43590</v>
      </c>
      <c r="AC171" s="12">
        <v>43591</v>
      </c>
      <c r="AD171" s="34"/>
      <c r="AE171" s="33">
        <f t="shared" si="27"/>
        <v>43575</v>
      </c>
      <c r="AF171" s="33">
        <f t="shared" si="28"/>
        <v>43584</v>
      </c>
      <c r="AG171" s="33">
        <f t="shared" si="29"/>
        <v>43593</v>
      </c>
      <c r="AH171">
        <v>214</v>
      </c>
      <c r="AK171" s="36" t="str">
        <f t="shared" si="23"/>
        <v/>
      </c>
      <c r="AL171" t="str">
        <f t="shared" si="30"/>
        <v/>
      </c>
      <c r="AM171" t="s">
        <v>393</v>
      </c>
      <c r="AN171">
        <f t="shared" si="24"/>
        <v>18</v>
      </c>
      <c r="AO171" t="str">
        <f t="shared" si="25"/>
        <v>20.4.---29.4.---8.5.</v>
      </c>
      <c r="AP171" t="str">
        <f t="shared" si="26"/>
        <v>Merikihu</v>
      </c>
      <c r="AQ171" t="str">
        <f t="shared" si="31"/>
        <v>(20.4.---29.4.---8.5.)</v>
      </c>
    </row>
    <row r="172" spans="1:43" x14ac:dyDescent="0.2">
      <c r="A172" s="1"/>
      <c r="B172" s="9">
        <f t="shared" si="22"/>
        <v>167</v>
      </c>
      <c r="C172" s="10"/>
      <c r="D172" s="9" t="s">
        <v>165</v>
      </c>
      <c r="E172" s="10"/>
      <c r="F172" s="11">
        <v>43603</v>
      </c>
      <c r="G172" s="12">
        <v>43605</v>
      </c>
      <c r="H172" s="11">
        <v>43603</v>
      </c>
      <c r="I172" s="12">
        <v>43603</v>
      </c>
      <c r="J172" s="11">
        <v>43602</v>
      </c>
      <c r="K172" s="12">
        <v>43608</v>
      </c>
      <c r="L172" s="11">
        <v>43602</v>
      </c>
      <c r="M172" s="12">
        <v>43600</v>
      </c>
      <c r="N172" s="11">
        <v>43597</v>
      </c>
      <c r="O172" s="12">
        <v>43596</v>
      </c>
      <c r="P172" s="11">
        <v>43603</v>
      </c>
      <c r="Q172" s="12">
        <v>43603</v>
      </c>
      <c r="R172" s="11">
        <v>43598</v>
      </c>
      <c r="S172" s="12">
        <v>43606</v>
      </c>
      <c r="T172" s="11">
        <v>43601</v>
      </c>
      <c r="U172" s="12">
        <v>43599</v>
      </c>
      <c r="V172" s="11">
        <v>43601</v>
      </c>
      <c r="W172" s="12">
        <v>43603</v>
      </c>
      <c r="X172" s="11">
        <v>43604</v>
      </c>
      <c r="Y172" s="12">
        <v>43602</v>
      </c>
      <c r="Z172" s="11">
        <v>43602</v>
      </c>
      <c r="AA172" s="12">
        <v>43605</v>
      </c>
      <c r="AB172" s="11">
        <v>43604</v>
      </c>
      <c r="AC172" s="12">
        <v>43603</v>
      </c>
      <c r="AD172" s="34"/>
      <c r="AE172" s="33">
        <f t="shared" si="27"/>
        <v>43596</v>
      </c>
      <c r="AF172" s="33">
        <f t="shared" si="28"/>
        <v>43602</v>
      </c>
      <c r="AG172" s="33">
        <f t="shared" si="29"/>
        <v>43608</v>
      </c>
      <c r="AH172">
        <v>215</v>
      </c>
      <c r="AK172" s="36" t="str">
        <f t="shared" si="23"/>
        <v/>
      </c>
      <c r="AL172" t="str">
        <f t="shared" si="30"/>
        <v/>
      </c>
      <c r="AM172" t="s">
        <v>393</v>
      </c>
      <c r="AN172">
        <f t="shared" si="24"/>
        <v>12</v>
      </c>
      <c r="AO172" t="str">
        <f t="shared" si="25"/>
        <v>11.5.---17.5.---23.5.</v>
      </c>
      <c r="AP172" t="str">
        <f t="shared" si="26"/>
        <v>Tunturikihu</v>
      </c>
      <c r="AQ172" t="str">
        <f t="shared" si="31"/>
        <v>(11.5.---17.5.---23.5.)</v>
      </c>
    </row>
    <row r="173" spans="1:43" x14ac:dyDescent="0.2">
      <c r="A173" s="1"/>
      <c r="B173" s="9">
        <f t="shared" si="22"/>
        <v>168</v>
      </c>
      <c r="C173" s="10"/>
      <c r="D173" s="15" t="s">
        <v>166</v>
      </c>
      <c r="E173" s="16"/>
      <c r="F173" s="11"/>
      <c r="G173" s="12"/>
      <c r="H173" s="11"/>
      <c r="I173" s="12"/>
      <c r="J173" s="11"/>
      <c r="K173" s="12"/>
      <c r="L173" s="11"/>
      <c r="M173" s="12"/>
      <c r="N173" s="11"/>
      <c r="O173" s="12"/>
      <c r="P173" s="11"/>
      <c r="Q173" s="12"/>
      <c r="R173" s="11"/>
      <c r="S173" s="12"/>
      <c r="T173" s="11"/>
      <c r="U173" s="12"/>
      <c r="V173" s="11"/>
      <c r="W173" s="12"/>
      <c r="X173" s="11"/>
      <c r="Y173" s="12"/>
      <c r="Z173" s="11"/>
      <c r="AA173" s="12"/>
      <c r="AB173" s="11"/>
      <c r="AC173" s="12"/>
      <c r="AD173" s="34"/>
      <c r="AE173" s="33" t="str">
        <f t="shared" si="27"/>
        <v/>
      </c>
      <c r="AF173" s="33" t="str">
        <f t="shared" si="28"/>
        <v/>
      </c>
      <c r="AG173" s="33" t="str">
        <f t="shared" si="29"/>
        <v/>
      </c>
      <c r="AH173">
        <v>216</v>
      </c>
      <c r="AK173" s="36" t="str">
        <f t="shared" si="23"/>
        <v/>
      </c>
      <c r="AL173" t="str">
        <f t="shared" si="30"/>
        <v/>
      </c>
      <c r="AM173" t="s">
        <v>393</v>
      </c>
      <c r="AN173" t="e">
        <f t="shared" si="24"/>
        <v>#VALUE!</v>
      </c>
      <c r="AO173" t="str">
        <f t="shared" si="25"/>
        <v>------</v>
      </c>
      <c r="AP173" t="str">
        <f t="shared" si="26"/>
        <v>Isokihu</v>
      </c>
      <c r="AQ173" t="str">
        <f t="shared" si="31"/>
        <v>(------)</v>
      </c>
    </row>
    <row r="174" spans="1:43" x14ac:dyDescent="0.2">
      <c r="A174" s="1"/>
      <c r="B174" s="9">
        <f t="shared" si="22"/>
        <v>169</v>
      </c>
      <c r="C174" s="10"/>
      <c r="D174" s="15" t="s">
        <v>167</v>
      </c>
      <c r="E174" s="16"/>
      <c r="F174" s="11"/>
      <c r="G174" s="12"/>
      <c r="H174" s="11"/>
      <c r="I174" s="12"/>
      <c r="J174" s="11">
        <v>43476</v>
      </c>
      <c r="K174" s="12"/>
      <c r="L174" s="11"/>
      <c r="M174" s="12"/>
      <c r="N174" s="11"/>
      <c r="O174" s="12"/>
      <c r="P174" s="11"/>
      <c r="Q174" s="12"/>
      <c r="R174" s="11"/>
      <c r="S174" s="12"/>
      <c r="T174" s="11"/>
      <c r="U174" s="12"/>
      <c r="V174" s="11"/>
      <c r="W174" s="12"/>
      <c r="X174" s="11"/>
      <c r="Y174" s="12"/>
      <c r="Z174" s="11">
        <v>43600</v>
      </c>
      <c r="AA174" s="12"/>
      <c r="AB174" s="11"/>
      <c r="AC174" s="12"/>
      <c r="AD174" s="34"/>
      <c r="AE174" s="33">
        <f t="shared" si="27"/>
        <v>43476</v>
      </c>
      <c r="AF174" s="33">
        <f t="shared" si="28"/>
        <v>43538</v>
      </c>
      <c r="AG174" s="33">
        <f t="shared" si="29"/>
        <v>43600</v>
      </c>
      <c r="AH174">
        <v>217</v>
      </c>
      <c r="AK174" s="36" t="str">
        <f t="shared" si="23"/>
        <v/>
      </c>
      <c r="AL174">
        <f t="shared" si="30"/>
        <v>1</v>
      </c>
      <c r="AM174">
        <v>1</v>
      </c>
      <c r="AN174">
        <f t="shared" si="24"/>
        <v>124</v>
      </c>
      <c r="AO174" t="str">
        <f t="shared" si="25"/>
        <v>11.1.---14.3.---15.5.</v>
      </c>
      <c r="AP174" t="str">
        <f t="shared" si="26"/>
        <v>Lunni</v>
      </c>
      <c r="AQ174" t="str">
        <f t="shared" si="31"/>
        <v>(11.1.---14.3.---15.5., 1/21)</v>
      </c>
    </row>
    <row r="175" spans="1:43" x14ac:dyDescent="0.2">
      <c r="A175" s="1"/>
      <c r="B175" s="9">
        <f t="shared" si="22"/>
        <v>170</v>
      </c>
      <c r="C175" s="10"/>
      <c r="D175" s="9" t="s">
        <v>168</v>
      </c>
      <c r="E175" s="10"/>
      <c r="F175" s="11">
        <v>43607</v>
      </c>
      <c r="G175" s="12">
        <f>IF(AG1,DATE(2019,1,7),DATE(2019,5,21))</f>
        <v>43606</v>
      </c>
      <c r="H175" s="11">
        <v>43611</v>
      </c>
      <c r="I175" s="12">
        <v>43606</v>
      </c>
      <c r="J175" s="11">
        <v>43616</v>
      </c>
      <c r="K175" s="12">
        <v>43608</v>
      </c>
      <c r="L175" s="11">
        <v>43608</v>
      </c>
      <c r="M175" s="12">
        <f>IF(AG1,DATE(2019,1,6),DATE(2019,5,27))</f>
        <v>43612</v>
      </c>
      <c r="N175" s="11">
        <v>43605</v>
      </c>
      <c r="O175" s="12">
        <v>43589</v>
      </c>
      <c r="P175" s="11">
        <v>43608</v>
      </c>
      <c r="Q175" s="12">
        <v>43601</v>
      </c>
      <c r="R175" s="11">
        <v>43602</v>
      </c>
      <c r="S175" s="12">
        <v>43610</v>
      </c>
      <c r="T175" s="11">
        <v>43587</v>
      </c>
      <c r="U175" s="12">
        <v>43583</v>
      </c>
      <c r="V175" s="11">
        <v>43601</v>
      </c>
      <c r="W175" s="12">
        <v>43590</v>
      </c>
      <c r="X175" s="11">
        <v>43595</v>
      </c>
      <c r="Y175" s="12">
        <v>43601</v>
      </c>
      <c r="Z175" s="11">
        <v>43588</v>
      </c>
      <c r="AA175" s="12">
        <v>43605</v>
      </c>
      <c r="AB175" s="11">
        <v>43602</v>
      </c>
      <c r="AC175" s="12">
        <v>43601</v>
      </c>
      <c r="AD175" s="34"/>
      <c r="AE175" s="33">
        <f t="shared" si="27"/>
        <v>43583</v>
      </c>
      <c r="AF175" s="33">
        <f t="shared" si="28"/>
        <v>43605</v>
      </c>
      <c r="AG175" s="33">
        <f t="shared" si="29"/>
        <v>43616</v>
      </c>
      <c r="AH175">
        <v>218</v>
      </c>
      <c r="AK175" s="36" t="str">
        <f t="shared" si="23"/>
        <v/>
      </c>
      <c r="AL175" t="str">
        <f t="shared" si="30"/>
        <v/>
      </c>
      <c r="AM175">
        <v>2</v>
      </c>
      <c r="AN175">
        <f t="shared" si="24"/>
        <v>33</v>
      </c>
      <c r="AO175" t="str">
        <f t="shared" si="25"/>
        <v>28.4.---20.5.---31.5.</v>
      </c>
      <c r="AP175" t="str">
        <f t="shared" si="26"/>
        <v>Riskilä</v>
      </c>
      <c r="AQ175" t="str">
        <f t="shared" si="31"/>
        <v>(28.4.---20.5.---31.5., 2/21)</v>
      </c>
    </row>
    <row r="176" spans="1:43" x14ac:dyDescent="0.2">
      <c r="A176" s="1"/>
      <c r="B176" s="9">
        <f t="shared" si="22"/>
        <v>171</v>
      </c>
      <c r="C176" s="10"/>
      <c r="D176" s="9" t="s">
        <v>169</v>
      </c>
      <c r="E176" s="10"/>
      <c r="F176" s="11">
        <v>43607</v>
      </c>
      <c r="G176" s="12">
        <v>43596</v>
      </c>
      <c r="H176" s="11">
        <v>43603</v>
      </c>
      <c r="I176" s="12">
        <v>43610</v>
      </c>
      <c r="J176" s="11">
        <v>43591</v>
      </c>
      <c r="K176" s="12">
        <v>43588</v>
      </c>
      <c r="L176" s="11">
        <v>43598</v>
      </c>
      <c r="M176" s="12">
        <f>IF(AG1,DATE(2019,1,1),DATE(2019,5,19))</f>
        <v>43604</v>
      </c>
      <c r="N176" s="11">
        <f>IF(AG1,DATE(2019,1,1),DATE(2019,4,21))</f>
        <v>43576</v>
      </c>
      <c r="O176" s="12">
        <v>43607</v>
      </c>
      <c r="P176" s="11">
        <v>43604</v>
      </c>
      <c r="Q176" s="12">
        <v>43605</v>
      </c>
      <c r="R176" s="11">
        <v>43583</v>
      </c>
      <c r="S176" s="12">
        <v>43587</v>
      </c>
      <c r="T176" s="11">
        <f>IF(AG1,DATE(2019,1,6),DATE(2019,4,26))</f>
        <v>43581</v>
      </c>
      <c r="U176" s="12">
        <v>43583</v>
      </c>
      <c r="V176" s="11">
        <v>43586</v>
      </c>
      <c r="W176" s="12">
        <v>43588</v>
      </c>
      <c r="X176" s="11">
        <v>43590</v>
      </c>
      <c r="Y176" s="12">
        <v>43590</v>
      </c>
      <c r="Z176" s="11">
        <v>43551</v>
      </c>
      <c r="AA176" s="12">
        <v>43587</v>
      </c>
      <c r="AB176" s="11">
        <v>43610</v>
      </c>
      <c r="AC176" s="12">
        <v>43587</v>
      </c>
      <c r="AD176" s="34"/>
      <c r="AE176" s="33">
        <f t="shared" si="27"/>
        <v>43551</v>
      </c>
      <c r="AF176" s="33">
        <f t="shared" si="28"/>
        <v>43590</v>
      </c>
      <c r="AG176" s="33">
        <f t="shared" si="29"/>
        <v>43610</v>
      </c>
      <c r="AH176">
        <v>220</v>
      </c>
      <c r="AK176" s="36" t="str">
        <f t="shared" si="23"/>
        <v/>
      </c>
      <c r="AL176" t="str">
        <f t="shared" si="30"/>
        <v/>
      </c>
      <c r="AM176">
        <v>3</v>
      </c>
      <c r="AN176">
        <f t="shared" si="24"/>
        <v>59</v>
      </c>
      <c r="AO176" t="str">
        <f t="shared" si="25"/>
        <v>27.3.---5.5.---25.5.</v>
      </c>
      <c r="AP176" t="str">
        <f t="shared" si="26"/>
        <v>Ruokki</v>
      </c>
      <c r="AQ176" t="str">
        <f t="shared" si="31"/>
        <v>(27.3.---5.5.---25.5., 3/21)</v>
      </c>
    </row>
    <row r="177" spans="1:43" x14ac:dyDescent="0.2">
      <c r="A177" s="1"/>
      <c r="B177" s="9">
        <f t="shared" si="22"/>
        <v>172</v>
      </c>
      <c r="C177" s="10"/>
      <c r="D177" s="13" t="s">
        <v>170</v>
      </c>
      <c r="E177" s="14"/>
      <c r="F177" s="11"/>
      <c r="G177" s="12"/>
      <c r="H177" s="11"/>
      <c r="I177" s="12">
        <v>43512</v>
      </c>
      <c r="J177" s="11"/>
      <c r="K177" s="12">
        <v>43521</v>
      </c>
      <c r="L177" s="11"/>
      <c r="M177" s="12">
        <v>43773</v>
      </c>
      <c r="N177" s="11">
        <v>43770</v>
      </c>
      <c r="O177" s="12">
        <v>43782</v>
      </c>
      <c r="P177" s="11">
        <v>43754</v>
      </c>
      <c r="Q177" s="12"/>
      <c r="R177" s="11"/>
      <c r="S177" s="12"/>
      <c r="T177" s="11"/>
      <c r="U177" s="12">
        <v>43595</v>
      </c>
      <c r="V177" s="11">
        <v>43784</v>
      </c>
      <c r="W177" s="12"/>
      <c r="X177" s="11">
        <v>43591</v>
      </c>
      <c r="Y177" s="12">
        <v>43599</v>
      </c>
      <c r="Z177" s="11"/>
      <c r="AA177" s="12">
        <v>43515</v>
      </c>
      <c r="AB177" s="11"/>
      <c r="AC177" s="12">
        <v>43605</v>
      </c>
      <c r="AD177" s="34"/>
      <c r="AE177" s="33">
        <f t="shared" si="27"/>
        <v>43512</v>
      </c>
      <c r="AF177" s="33">
        <f t="shared" si="28"/>
        <v>43676.5</v>
      </c>
      <c r="AG177" s="33">
        <f t="shared" si="29"/>
        <v>43784</v>
      </c>
      <c r="AH177">
        <v>221</v>
      </c>
      <c r="AK177" s="36" t="str">
        <f t="shared" si="23"/>
        <v/>
      </c>
      <c r="AL177">
        <f t="shared" si="30"/>
        <v>2</v>
      </c>
      <c r="AM177">
        <v>2</v>
      </c>
      <c r="AN177">
        <f t="shared" si="24"/>
        <v>272</v>
      </c>
      <c r="AO177" t="str">
        <f t="shared" si="25"/>
        <v>16.2.---30.7.---15.11.</v>
      </c>
      <c r="AP177" t="str">
        <f t="shared" si="26"/>
        <v>Pikkuruokki</v>
      </c>
      <c r="AQ177" t="str">
        <f t="shared" si="31"/>
        <v>(16.2.---30.7.---15.11., 2/21)</v>
      </c>
    </row>
    <row r="178" spans="1:43" x14ac:dyDescent="0.2">
      <c r="A178" s="1"/>
      <c r="B178" s="9">
        <f t="shared" si="22"/>
        <v>173</v>
      </c>
      <c r="C178" s="10"/>
      <c r="D178" s="13" t="s">
        <v>171</v>
      </c>
      <c r="E178" s="14"/>
      <c r="F178" s="11"/>
      <c r="G178" s="12"/>
      <c r="H178" s="11"/>
      <c r="I178" s="12"/>
      <c r="J178" s="11"/>
      <c r="K178" s="12"/>
      <c r="L178" s="11"/>
      <c r="M178" s="12">
        <v>43604</v>
      </c>
      <c r="N178" s="11">
        <v>43750</v>
      </c>
      <c r="O178" s="12"/>
      <c r="P178" s="11"/>
      <c r="Q178" s="12"/>
      <c r="R178" s="11"/>
      <c r="S178" s="12"/>
      <c r="T178" s="11"/>
      <c r="U178" s="12"/>
      <c r="V178" s="11"/>
      <c r="W178" s="12"/>
      <c r="X178" s="11">
        <v>43591</v>
      </c>
      <c r="Y178" s="12">
        <v>43607</v>
      </c>
      <c r="Z178" s="11">
        <v>43590</v>
      </c>
      <c r="AA178" s="12">
        <v>43615</v>
      </c>
      <c r="AB178" s="11"/>
      <c r="AC178" s="12">
        <v>43612</v>
      </c>
      <c r="AD178" s="34"/>
      <c r="AE178" s="33">
        <f t="shared" si="27"/>
        <v>43590</v>
      </c>
      <c r="AF178" s="33">
        <f t="shared" si="28"/>
        <v>43604</v>
      </c>
      <c r="AG178" s="33">
        <f t="shared" si="29"/>
        <v>43750</v>
      </c>
      <c r="AH178">
        <v>222</v>
      </c>
      <c r="AK178" s="36" t="str">
        <f t="shared" si="23"/>
        <v/>
      </c>
      <c r="AL178" t="str">
        <f t="shared" si="30"/>
        <v/>
      </c>
      <c r="AM178" t="s">
        <v>393</v>
      </c>
      <c r="AN178">
        <f t="shared" si="24"/>
        <v>160</v>
      </c>
      <c r="AO178" t="str">
        <f t="shared" si="25"/>
        <v>5.5.---19.5.---12.10.</v>
      </c>
      <c r="AP178" t="str">
        <f t="shared" si="26"/>
        <v>Etelänkiisla</v>
      </c>
      <c r="AQ178" t="str">
        <f t="shared" si="31"/>
        <v>(5.5.---19.5.---12.10.)</v>
      </c>
    </row>
    <row r="179" spans="1:43" x14ac:dyDescent="0.2">
      <c r="A179" s="1"/>
      <c r="B179" s="9">
        <f t="shared" si="22"/>
        <v>174</v>
      </c>
      <c r="C179" s="10"/>
      <c r="D179" s="15" t="s">
        <v>172</v>
      </c>
      <c r="E179" s="16"/>
      <c r="F179" s="11"/>
      <c r="G179" s="12"/>
      <c r="H179" s="11"/>
      <c r="I179" s="12"/>
      <c r="J179" s="11"/>
      <c r="K179" s="12"/>
      <c r="L179" s="11"/>
      <c r="M179" s="12"/>
      <c r="N179" s="11"/>
      <c r="O179" s="12"/>
      <c r="P179" s="11"/>
      <c r="Q179" s="12"/>
      <c r="R179" s="11"/>
      <c r="S179" s="12"/>
      <c r="T179" s="11"/>
      <c r="U179" s="12"/>
      <c r="V179" s="11"/>
      <c r="W179" s="12"/>
      <c r="X179" s="11"/>
      <c r="Y179" s="12"/>
      <c r="Z179" s="11"/>
      <c r="AA179" s="12"/>
      <c r="AB179" s="11"/>
      <c r="AC179" s="12"/>
      <c r="AD179" s="34"/>
      <c r="AE179" s="33" t="str">
        <f t="shared" si="27"/>
        <v/>
      </c>
      <c r="AF179" s="33" t="str">
        <f t="shared" si="28"/>
        <v/>
      </c>
      <c r="AG179" s="33" t="str">
        <f t="shared" si="29"/>
        <v/>
      </c>
      <c r="AH179">
        <v>223</v>
      </c>
      <c r="AK179" s="36" t="str">
        <f t="shared" si="23"/>
        <v/>
      </c>
      <c r="AL179" t="str">
        <f t="shared" si="30"/>
        <v/>
      </c>
      <c r="AM179" t="s">
        <v>393</v>
      </c>
      <c r="AN179" t="e">
        <f t="shared" si="24"/>
        <v>#VALUE!</v>
      </c>
      <c r="AO179" t="str">
        <f t="shared" si="25"/>
        <v>------</v>
      </c>
      <c r="AP179" t="str">
        <f t="shared" si="26"/>
        <v>Pohjankiisla</v>
      </c>
      <c r="AQ179" t="str">
        <f t="shared" si="31"/>
        <v>(------)</v>
      </c>
    </row>
    <row r="180" spans="1:43" x14ac:dyDescent="0.2">
      <c r="A180" s="1"/>
      <c r="B180" s="9">
        <f t="shared" si="22"/>
        <v>175</v>
      </c>
      <c r="C180" s="10"/>
      <c r="D180" s="9" t="s">
        <v>173</v>
      </c>
      <c r="E180" s="10"/>
      <c r="F180" s="11">
        <v>43597</v>
      </c>
      <c r="G180" s="12">
        <v>43590</v>
      </c>
      <c r="H180" s="11">
        <v>43594</v>
      </c>
      <c r="I180" s="12">
        <v>43595</v>
      </c>
      <c r="J180" s="11">
        <v>43591</v>
      </c>
      <c r="K180" s="12">
        <v>43594</v>
      </c>
      <c r="L180" s="11">
        <v>43595</v>
      </c>
      <c r="M180" s="12">
        <v>43592</v>
      </c>
      <c r="N180" s="11">
        <v>43596</v>
      </c>
      <c r="O180" s="12">
        <v>43587</v>
      </c>
      <c r="P180" s="11">
        <v>43592</v>
      </c>
      <c r="Q180" s="12">
        <v>43588</v>
      </c>
      <c r="R180" s="11">
        <v>43594</v>
      </c>
      <c r="S180" s="12">
        <v>43593</v>
      </c>
      <c r="T180" s="11">
        <v>43588</v>
      </c>
      <c r="U180" s="12">
        <v>43591</v>
      </c>
      <c r="V180" s="11">
        <v>43590</v>
      </c>
      <c r="W180" s="12">
        <v>43596</v>
      </c>
      <c r="X180" s="11">
        <v>43594</v>
      </c>
      <c r="Y180" s="12">
        <v>43594</v>
      </c>
      <c r="Z180" s="11">
        <v>43591</v>
      </c>
      <c r="AA180" s="12">
        <v>43593</v>
      </c>
      <c r="AB180" s="11">
        <v>43593</v>
      </c>
      <c r="AC180" s="12">
        <v>43594</v>
      </c>
      <c r="AD180" s="34"/>
      <c r="AE180" s="33">
        <f t="shared" si="27"/>
        <v>43587</v>
      </c>
      <c r="AF180" s="33">
        <f t="shared" si="28"/>
        <v>43593</v>
      </c>
      <c r="AG180" s="33">
        <f t="shared" si="29"/>
        <v>43597</v>
      </c>
      <c r="AH180">
        <v>224</v>
      </c>
      <c r="AK180" s="36" t="str">
        <f t="shared" si="23"/>
        <v/>
      </c>
      <c r="AL180" t="str">
        <f t="shared" si="30"/>
        <v/>
      </c>
      <c r="AM180" t="s">
        <v>393</v>
      </c>
      <c r="AN180">
        <f t="shared" si="24"/>
        <v>10</v>
      </c>
      <c r="AO180" t="str">
        <f t="shared" si="25"/>
        <v>2.5.---8.5.---12.5.</v>
      </c>
      <c r="AP180" t="str">
        <f t="shared" si="26"/>
        <v>Pikkutiira</v>
      </c>
      <c r="AQ180" t="str">
        <f t="shared" si="31"/>
        <v>(2.5.---8.5.---12.5.)</v>
      </c>
    </row>
    <row r="181" spans="1:43" x14ac:dyDescent="0.2">
      <c r="A181" s="1"/>
      <c r="B181" s="9">
        <f t="shared" si="22"/>
        <v>176</v>
      </c>
      <c r="C181" s="10"/>
      <c r="D181" s="15" t="s">
        <v>174</v>
      </c>
      <c r="E181" s="16"/>
      <c r="F181" s="11"/>
      <c r="G181" s="12"/>
      <c r="H181" s="11"/>
      <c r="I181" s="12"/>
      <c r="J181" s="11"/>
      <c r="K181" s="12"/>
      <c r="L181" s="11"/>
      <c r="M181" s="12"/>
      <c r="N181" s="11"/>
      <c r="O181" s="12"/>
      <c r="P181" s="11">
        <v>43633</v>
      </c>
      <c r="Q181" s="12">
        <v>43620</v>
      </c>
      <c r="R181" s="11">
        <v>43680</v>
      </c>
      <c r="S181" s="12">
        <v>43603</v>
      </c>
      <c r="T181" s="11">
        <v>43600</v>
      </c>
      <c r="U181" s="12">
        <v>43605</v>
      </c>
      <c r="V181" s="11">
        <v>43599</v>
      </c>
      <c r="W181" s="12"/>
      <c r="X181" s="11"/>
      <c r="Y181" s="12"/>
      <c r="Z181" s="11"/>
      <c r="AA181" s="12"/>
      <c r="AB181" s="11"/>
      <c r="AC181" s="12"/>
      <c r="AD181" s="34"/>
      <c r="AE181" s="33">
        <f t="shared" si="27"/>
        <v>43599</v>
      </c>
      <c r="AF181" s="33">
        <f t="shared" si="28"/>
        <v>43605</v>
      </c>
      <c r="AG181" s="33">
        <f t="shared" si="29"/>
        <v>43680</v>
      </c>
      <c r="AH181">
        <v>225</v>
      </c>
      <c r="AK181" s="36" t="str">
        <f t="shared" si="23"/>
        <v/>
      </c>
      <c r="AL181" t="str">
        <f t="shared" si="30"/>
        <v/>
      </c>
      <c r="AM181" t="s">
        <v>393</v>
      </c>
      <c r="AN181">
        <f t="shared" si="24"/>
        <v>81</v>
      </c>
      <c r="AO181" t="str">
        <f t="shared" si="25"/>
        <v>14.5.---20.5.---3.8.</v>
      </c>
      <c r="AP181" t="str">
        <f t="shared" si="26"/>
        <v>Hietatiira</v>
      </c>
      <c r="AQ181" t="str">
        <f t="shared" si="31"/>
        <v>(14.5.---20.5.---3.8.)</v>
      </c>
    </row>
    <row r="182" spans="1:43" x14ac:dyDescent="0.2">
      <c r="A182" s="1"/>
      <c r="B182" s="9">
        <f t="shared" si="22"/>
        <v>177</v>
      </c>
      <c r="C182" s="10"/>
      <c r="D182" s="9" t="s">
        <v>175</v>
      </c>
      <c r="E182" s="10"/>
      <c r="F182" s="11">
        <v>43573</v>
      </c>
      <c r="G182" s="12">
        <v>43581</v>
      </c>
      <c r="H182" s="11">
        <v>43575</v>
      </c>
      <c r="I182" s="12">
        <v>43577</v>
      </c>
      <c r="J182" s="11">
        <v>43574</v>
      </c>
      <c r="K182" s="12">
        <v>43572</v>
      </c>
      <c r="L182" s="11">
        <v>43577</v>
      </c>
      <c r="M182" s="12">
        <v>43572</v>
      </c>
      <c r="N182" s="11">
        <v>43573</v>
      </c>
      <c r="O182" s="12">
        <v>43576</v>
      </c>
      <c r="P182" s="11">
        <v>43577</v>
      </c>
      <c r="Q182" s="12">
        <v>43576</v>
      </c>
      <c r="R182" s="11">
        <v>43571</v>
      </c>
      <c r="S182" s="12">
        <v>43576</v>
      </c>
      <c r="T182" s="11">
        <v>43573</v>
      </c>
      <c r="U182" s="12">
        <v>43560</v>
      </c>
      <c r="V182" s="11">
        <v>43567</v>
      </c>
      <c r="W182" s="12">
        <v>43574</v>
      </c>
      <c r="X182" s="11">
        <v>43578</v>
      </c>
      <c r="Y182" s="12">
        <v>43576</v>
      </c>
      <c r="Z182" s="11">
        <v>43567</v>
      </c>
      <c r="AA182" s="12">
        <v>43572</v>
      </c>
      <c r="AB182" s="11">
        <v>43576</v>
      </c>
      <c r="AC182" s="12">
        <v>43577</v>
      </c>
      <c r="AD182" s="34"/>
      <c r="AE182" s="33">
        <f t="shared" si="27"/>
        <v>43560</v>
      </c>
      <c r="AF182" s="33">
        <f t="shared" si="28"/>
        <v>43574</v>
      </c>
      <c r="AG182" s="33">
        <f t="shared" si="29"/>
        <v>43581</v>
      </c>
      <c r="AH182">
        <v>226</v>
      </c>
      <c r="AK182" s="36" t="str">
        <f t="shared" si="23"/>
        <v/>
      </c>
      <c r="AL182" t="str">
        <f t="shared" si="30"/>
        <v/>
      </c>
      <c r="AM182" t="s">
        <v>393</v>
      </c>
      <c r="AN182">
        <f t="shared" si="24"/>
        <v>21</v>
      </c>
      <c r="AO182" t="str">
        <f t="shared" si="25"/>
        <v>5.4.---19.4.---26.4.</v>
      </c>
      <c r="AP182" t="str">
        <f t="shared" si="26"/>
        <v>Räyskä</v>
      </c>
      <c r="AQ182" t="str">
        <f t="shared" si="31"/>
        <v>(5.4.---19.4.---26.4.)</v>
      </c>
    </row>
    <row r="183" spans="1:43" x14ac:dyDescent="0.2">
      <c r="A183" s="1"/>
      <c r="B183" s="9">
        <f t="shared" si="22"/>
        <v>178</v>
      </c>
      <c r="C183" s="10"/>
      <c r="D183" s="15" t="s">
        <v>176</v>
      </c>
      <c r="E183" s="16"/>
      <c r="F183" s="11"/>
      <c r="G183" s="12"/>
      <c r="H183" s="11"/>
      <c r="I183" s="12"/>
      <c r="J183" s="11"/>
      <c r="K183" s="12"/>
      <c r="L183" s="11"/>
      <c r="M183" s="12"/>
      <c r="N183" s="11"/>
      <c r="O183" s="12"/>
      <c r="P183" s="11"/>
      <c r="Q183" s="12">
        <v>43608</v>
      </c>
      <c r="R183" s="11"/>
      <c r="S183" s="12"/>
      <c r="T183" s="11"/>
      <c r="U183" s="12"/>
      <c r="V183" s="11"/>
      <c r="W183" s="12"/>
      <c r="X183" s="11"/>
      <c r="Y183" s="12"/>
      <c r="Z183" s="11"/>
      <c r="AA183" s="12"/>
      <c r="AB183" s="11"/>
      <c r="AC183" s="12"/>
      <c r="AD183" s="34"/>
      <c r="AE183" s="33">
        <f t="shared" si="27"/>
        <v>43608</v>
      </c>
      <c r="AF183" s="33">
        <f t="shared" si="28"/>
        <v>43608</v>
      </c>
      <c r="AG183" s="33">
        <f t="shared" si="29"/>
        <v>43608</v>
      </c>
      <c r="AH183">
        <v>227</v>
      </c>
      <c r="AK183" s="36" t="str">
        <f t="shared" si="23"/>
        <v/>
      </c>
      <c r="AL183" t="str">
        <f t="shared" si="30"/>
        <v/>
      </c>
      <c r="AM183" t="s">
        <v>393</v>
      </c>
      <c r="AN183">
        <f t="shared" si="24"/>
        <v>0</v>
      </c>
      <c r="AO183" t="str">
        <f t="shared" si="25"/>
        <v>23.5.---23.5.---23.5.</v>
      </c>
      <c r="AP183" t="str">
        <f t="shared" si="26"/>
        <v>Valkoposkitiira</v>
      </c>
      <c r="AQ183" t="str">
        <f t="shared" si="31"/>
        <v>(23.5.---23.5.---23.5.)</v>
      </c>
    </row>
    <row r="184" spans="1:43" x14ac:dyDescent="0.2">
      <c r="A184" s="1"/>
      <c r="B184" s="9">
        <f t="shared" si="22"/>
        <v>179</v>
      </c>
      <c r="C184" s="10"/>
      <c r="D184" s="9" t="s">
        <v>177</v>
      </c>
      <c r="E184" s="10"/>
      <c r="F184" s="11">
        <v>43608</v>
      </c>
      <c r="G184" s="12">
        <v>43634</v>
      </c>
      <c r="H184" s="11">
        <v>43609</v>
      </c>
      <c r="I184" s="12">
        <v>43601</v>
      </c>
      <c r="J184" s="11">
        <v>43613</v>
      </c>
      <c r="K184" s="12">
        <v>43609</v>
      </c>
      <c r="L184" s="11">
        <v>43607</v>
      </c>
      <c r="M184" s="12">
        <v>43666</v>
      </c>
      <c r="N184" s="11">
        <v>43621</v>
      </c>
      <c r="O184" s="12">
        <v>43607</v>
      </c>
      <c r="P184" s="11">
        <v>43610</v>
      </c>
      <c r="Q184" s="12">
        <v>43608</v>
      </c>
      <c r="R184" s="11"/>
      <c r="S184" s="12">
        <v>43610</v>
      </c>
      <c r="T184" s="11">
        <v>43597</v>
      </c>
      <c r="U184" s="12">
        <v>43597</v>
      </c>
      <c r="V184" s="11">
        <v>43609</v>
      </c>
      <c r="W184" s="12"/>
      <c r="X184" s="11">
        <v>43631</v>
      </c>
      <c r="Y184" s="12">
        <v>43626</v>
      </c>
      <c r="Z184" s="11">
        <v>43612</v>
      </c>
      <c r="AA184" s="12">
        <v>43599</v>
      </c>
      <c r="AB184" s="11">
        <v>43621</v>
      </c>
      <c r="AC184" s="12">
        <v>43629</v>
      </c>
      <c r="AD184" s="34"/>
      <c r="AE184" s="33">
        <f t="shared" si="27"/>
        <v>43597</v>
      </c>
      <c r="AF184" s="33">
        <f t="shared" si="28"/>
        <v>43609</v>
      </c>
      <c r="AG184" s="33">
        <f t="shared" si="29"/>
        <v>43666</v>
      </c>
      <c r="AH184">
        <v>228</v>
      </c>
      <c r="AK184" s="36" t="str">
        <f t="shared" si="23"/>
        <v/>
      </c>
      <c r="AL184" t="str">
        <f t="shared" si="30"/>
        <v/>
      </c>
      <c r="AM184" t="s">
        <v>393</v>
      </c>
      <c r="AN184">
        <f t="shared" si="24"/>
        <v>69</v>
      </c>
      <c r="AO184" t="str">
        <f t="shared" si="25"/>
        <v>12.5.---24.5.---20.7.</v>
      </c>
      <c r="AP184" t="str">
        <f t="shared" si="26"/>
        <v>Mustatiira</v>
      </c>
      <c r="AQ184" t="str">
        <f t="shared" si="31"/>
        <v>(12.5.---24.5.---20.7.)</v>
      </c>
    </row>
    <row r="185" spans="1:43" x14ac:dyDescent="0.2">
      <c r="A185" s="1"/>
      <c r="B185" s="9">
        <f t="shared" si="22"/>
        <v>180</v>
      </c>
      <c r="C185" s="10"/>
      <c r="D185" s="13" t="s">
        <v>178</v>
      </c>
      <c r="E185" s="14"/>
      <c r="F185" s="11"/>
      <c r="G185" s="12"/>
      <c r="H185" s="11"/>
      <c r="I185" s="12"/>
      <c r="J185" s="11"/>
      <c r="K185" s="12"/>
      <c r="L185" s="11">
        <v>43607</v>
      </c>
      <c r="M185" s="12"/>
      <c r="N185" s="11"/>
      <c r="O185" s="12"/>
      <c r="P185" s="11"/>
      <c r="Q185" s="12"/>
      <c r="R185" s="11"/>
      <c r="S185" s="12"/>
      <c r="T185" s="11"/>
      <c r="U185" s="12"/>
      <c r="V185" s="11"/>
      <c r="W185" s="12"/>
      <c r="X185" s="11"/>
      <c r="Y185" s="12">
        <v>43626</v>
      </c>
      <c r="Z185" s="11"/>
      <c r="AA185" s="12"/>
      <c r="AB185" s="11"/>
      <c r="AC185" s="12">
        <v>43600</v>
      </c>
      <c r="AD185" s="34"/>
      <c r="AE185" s="33">
        <f t="shared" si="27"/>
        <v>43607</v>
      </c>
      <c r="AF185" s="33">
        <f t="shared" si="28"/>
        <v>43616.5</v>
      </c>
      <c r="AG185" s="33">
        <f t="shared" si="29"/>
        <v>43626</v>
      </c>
      <c r="AH185">
        <v>229</v>
      </c>
      <c r="AK185" s="36" t="str">
        <f t="shared" si="23"/>
        <v/>
      </c>
      <c r="AL185" t="str">
        <f t="shared" si="30"/>
        <v/>
      </c>
      <c r="AM185" t="s">
        <v>393</v>
      </c>
      <c r="AN185">
        <f t="shared" si="24"/>
        <v>19</v>
      </c>
      <c r="AO185" t="str">
        <f t="shared" si="25"/>
        <v>22.5.---31.5.---10.6.</v>
      </c>
      <c r="AP185" t="str">
        <f t="shared" si="26"/>
        <v>Valkosiipitiira</v>
      </c>
      <c r="AQ185" t="str">
        <f t="shared" si="31"/>
        <v>(22.5.---31.5.---10.6.)</v>
      </c>
    </row>
    <row r="186" spans="1:43" x14ac:dyDescent="0.2">
      <c r="A186" s="1"/>
      <c r="B186" s="9">
        <f t="shared" si="22"/>
        <v>181</v>
      </c>
      <c r="C186" s="10"/>
      <c r="D186" s="13" t="s">
        <v>179</v>
      </c>
      <c r="E186" s="14"/>
      <c r="F186" s="11"/>
      <c r="G186" s="12"/>
      <c r="H186" s="11"/>
      <c r="I186" s="12"/>
      <c r="J186" s="11"/>
      <c r="K186" s="12">
        <v>43652</v>
      </c>
      <c r="L186" s="11"/>
      <c r="M186" s="12"/>
      <c r="N186" s="11">
        <v>43588</v>
      </c>
      <c r="O186" s="12"/>
      <c r="P186" s="11"/>
      <c r="Q186" s="12">
        <v>43618</v>
      </c>
      <c r="R186" s="11"/>
      <c r="S186" s="12"/>
      <c r="T186" s="11">
        <v>43693</v>
      </c>
      <c r="U186" s="12"/>
      <c r="V186" s="11"/>
      <c r="W186" s="12">
        <v>43623</v>
      </c>
      <c r="X186" s="11"/>
      <c r="Y186" s="12"/>
      <c r="Z186" s="11">
        <v>43697</v>
      </c>
      <c r="AA186" s="12"/>
      <c r="AB186" s="11"/>
      <c r="AC186" s="12">
        <v>43683</v>
      </c>
      <c r="AD186" s="34"/>
      <c r="AE186" s="33">
        <f t="shared" si="27"/>
        <v>43588</v>
      </c>
      <c r="AF186" s="33">
        <f t="shared" si="28"/>
        <v>43637.5</v>
      </c>
      <c r="AG186" s="33">
        <f t="shared" si="29"/>
        <v>43697</v>
      </c>
      <c r="AH186">
        <v>230</v>
      </c>
      <c r="AK186" s="36" t="str">
        <f t="shared" si="23"/>
        <v/>
      </c>
      <c r="AL186" t="str">
        <f t="shared" si="30"/>
        <v/>
      </c>
      <c r="AM186" t="s">
        <v>393</v>
      </c>
      <c r="AN186">
        <f t="shared" si="24"/>
        <v>109</v>
      </c>
      <c r="AO186" t="str">
        <f t="shared" si="25"/>
        <v>3.5.---21.6.---20.8.</v>
      </c>
      <c r="AP186" t="str">
        <f t="shared" si="26"/>
        <v>Riuttatiira</v>
      </c>
      <c r="AQ186" t="str">
        <f t="shared" si="31"/>
        <v>(3.5.---21.6.---20.8.)</v>
      </c>
    </row>
    <row r="187" spans="1:43" x14ac:dyDescent="0.2">
      <c r="A187" s="1"/>
      <c r="B187" s="9">
        <f t="shared" si="22"/>
        <v>182</v>
      </c>
      <c r="C187" s="10"/>
      <c r="D187" s="9" t="s">
        <v>180</v>
      </c>
      <c r="E187" s="10"/>
      <c r="F187" s="11">
        <v>43589</v>
      </c>
      <c r="G187" s="12">
        <v>43584</v>
      </c>
      <c r="H187" s="11">
        <v>43587</v>
      </c>
      <c r="I187" s="12">
        <v>43588</v>
      </c>
      <c r="J187" s="11">
        <v>43586</v>
      </c>
      <c r="K187" s="12">
        <v>43584</v>
      </c>
      <c r="L187" s="11">
        <v>43581</v>
      </c>
      <c r="M187" s="12">
        <v>43581</v>
      </c>
      <c r="N187" s="11">
        <v>43582</v>
      </c>
      <c r="O187" s="12">
        <v>43580</v>
      </c>
      <c r="P187" s="11">
        <v>43583</v>
      </c>
      <c r="Q187" s="12">
        <v>43588</v>
      </c>
      <c r="R187" s="11">
        <v>43583</v>
      </c>
      <c r="S187" s="12">
        <v>43583</v>
      </c>
      <c r="T187" s="11">
        <v>43582</v>
      </c>
      <c r="U187" s="12">
        <v>43582</v>
      </c>
      <c r="V187" s="11">
        <v>43583</v>
      </c>
      <c r="W187" s="12">
        <v>43586</v>
      </c>
      <c r="X187" s="11">
        <v>43582</v>
      </c>
      <c r="Y187" s="12">
        <v>43583</v>
      </c>
      <c r="Z187" s="11">
        <v>43580</v>
      </c>
      <c r="AA187" s="12">
        <v>43584</v>
      </c>
      <c r="AB187" s="11">
        <v>43586</v>
      </c>
      <c r="AC187" s="12">
        <v>43584</v>
      </c>
      <c r="AD187" s="34"/>
      <c r="AE187" s="33">
        <f t="shared" si="27"/>
        <v>43580</v>
      </c>
      <c r="AF187" s="33">
        <f t="shared" si="28"/>
        <v>43583</v>
      </c>
      <c r="AG187" s="33">
        <f t="shared" si="29"/>
        <v>43589</v>
      </c>
      <c r="AH187">
        <v>231</v>
      </c>
      <c r="AK187" s="36" t="str">
        <f t="shared" si="23"/>
        <v/>
      </c>
      <c r="AL187" t="str">
        <f t="shared" si="30"/>
        <v/>
      </c>
      <c r="AM187" t="s">
        <v>393</v>
      </c>
      <c r="AN187">
        <f t="shared" si="24"/>
        <v>9</v>
      </c>
      <c r="AO187" t="str">
        <f t="shared" si="25"/>
        <v>25.4.---28.4.---4.5.</v>
      </c>
      <c r="AP187" t="str">
        <f t="shared" si="26"/>
        <v>Kalatiira</v>
      </c>
      <c r="AQ187" t="str">
        <f t="shared" si="31"/>
        <v>(25.4.---28.4.---4.5.)</v>
      </c>
    </row>
    <row r="188" spans="1:43" x14ac:dyDescent="0.2">
      <c r="A188" s="1"/>
      <c r="B188" s="9">
        <f t="shared" si="22"/>
        <v>183</v>
      </c>
      <c r="C188" s="10"/>
      <c r="D188" s="9" t="s">
        <v>181</v>
      </c>
      <c r="E188" s="10"/>
      <c r="F188" s="11">
        <v>43591</v>
      </c>
      <c r="G188" s="12">
        <v>43589</v>
      </c>
      <c r="H188" s="11">
        <v>43593</v>
      </c>
      <c r="I188" s="12">
        <v>43589</v>
      </c>
      <c r="J188" s="11">
        <v>43590</v>
      </c>
      <c r="K188" s="12">
        <v>43588</v>
      </c>
      <c r="L188" s="11">
        <v>43590</v>
      </c>
      <c r="M188" s="12">
        <v>43588</v>
      </c>
      <c r="N188" s="11">
        <v>43589</v>
      </c>
      <c r="O188" s="12">
        <v>43588</v>
      </c>
      <c r="P188" s="11">
        <v>43588</v>
      </c>
      <c r="Q188" s="12">
        <v>43588</v>
      </c>
      <c r="R188" s="11">
        <v>43585</v>
      </c>
      <c r="S188" s="12">
        <v>43588</v>
      </c>
      <c r="T188" s="11">
        <v>43585</v>
      </c>
      <c r="U188" s="12">
        <v>43586</v>
      </c>
      <c r="V188" s="11">
        <v>43587</v>
      </c>
      <c r="W188" s="12">
        <v>43587</v>
      </c>
      <c r="X188" s="11">
        <v>43590</v>
      </c>
      <c r="Y188" s="12">
        <v>43575</v>
      </c>
      <c r="Z188" s="11">
        <v>43586</v>
      </c>
      <c r="AA188" s="12">
        <v>43594</v>
      </c>
      <c r="AB188" s="11">
        <v>43590</v>
      </c>
      <c r="AC188" s="12">
        <v>43587</v>
      </c>
      <c r="AD188" s="34"/>
      <c r="AE188" s="33">
        <f t="shared" si="27"/>
        <v>43575</v>
      </c>
      <c r="AF188" s="33">
        <f t="shared" si="28"/>
        <v>43588</v>
      </c>
      <c r="AG188" s="33">
        <f t="shared" si="29"/>
        <v>43593</v>
      </c>
      <c r="AH188">
        <v>232</v>
      </c>
      <c r="AK188" s="36" t="str">
        <f t="shared" si="23"/>
        <v/>
      </c>
      <c r="AL188" t="str">
        <f t="shared" si="30"/>
        <v/>
      </c>
      <c r="AM188" t="s">
        <v>393</v>
      </c>
      <c r="AN188">
        <f t="shared" si="24"/>
        <v>18</v>
      </c>
      <c r="AO188" t="str">
        <f t="shared" si="25"/>
        <v>20.4.---3.5.---8.5.</v>
      </c>
      <c r="AP188" t="str">
        <f t="shared" si="26"/>
        <v>Lapintiira</v>
      </c>
      <c r="AQ188" t="str">
        <f t="shared" si="31"/>
        <v>(20.4.---3.5.---8.5.)</v>
      </c>
    </row>
    <row r="189" spans="1:43" x14ac:dyDescent="0.2">
      <c r="A189" s="1"/>
      <c r="B189" s="9">
        <f t="shared" ref="B189:B251" si="32">B188+1</f>
        <v>184</v>
      </c>
      <c r="C189" s="10"/>
      <c r="D189" s="9" t="s">
        <v>182</v>
      </c>
      <c r="E189" s="10"/>
      <c r="F189" s="11">
        <v>43581</v>
      </c>
      <c r="G189" s="12">
        <v>43584</v>
      </c>
      <c r="H189" s="11">
        <v>43582</v>
      </c>
      <c r="I189" s="12">
        <v>43588</v>
      </c>
      <c r="J189" s="11">
        <v>43583</v>
      </c>
      <c r="K189" s="12">
        <v>43586</v>
      </c>
      <c r="L189" s="11">
        <v>43583</v>
      </c>
      <c r="M189" s="12">
        <v>43584</v>
      </c>
      <c r="N189" s="11">
        <v>43576</v>
      </c>
      <c r="O189" s="12">
        <v>43582</v>
      </c>
      <c r="P189" s="11">
        <v>43587</v>
      </c>
      <c r="Q189" s="12">
        <f>IF(AG1,DATE(2019,1,11),DATE(2019,5,3))</f>
        <v>43588</v>
      </c>
      <c r="R189" s="11">
        <v>43582</v>
      </c>
      <c r="S189" s="12">
        <v>43586</v>
      </c>
      <c r="T189" s="11">
        <f>IF(AG1,DATE(2019,2,26),DATE(2019,4,27))</f>
        <v>43582</v>
      </c>
      <c r="U189" s="12">
        <v>43582</v>
      </c>
      <c r="V189" s="11">
        <v>43583</v>
      </c>
      <c r="W189" s="12">
        <v>43585</v>
      </c>
      <c r="X189" s="11">
        <v>43584</v>
      </c>
      <c r="Y189" s="12">
        <v>43576</v>
      </c>
      <c r="Z189" s="11">
        <v>43586</v>
      </c>
      <c r="AA189" s="12">
        <v>43576</v>
      </c>
      <c r="AB189" s="11">
        <v>43590</v>
      </c>
      <c r="AC189" s="12">
        <v>43585</v>
      </c>
      <c r="AD189" s="34"/>
      <c r="AE189" s="33">
        <f t="shared" si="27"/>
        <v>43576</v>
      </c>
      <c r="AF189" s="33">
        <f t="shared" si="28"/>
        <v>43583</v>
      </c>
      <c r="AG189" s="33">
        <f t="shared" si="29"/>
        <v>43588</v>
      </c>
      <c r="AH189">
        <v>233</v>
      </c>
      <c r="AK189" s="36" t="str">
        <f t="shared" si="23"/>
        <v/>
      </c>
      <c r="AL189" t="str">
        <f t="shared" si="30"/>
        <v/>
      </c>
      <c r="AM189">
        <v>2</v>
      </c>
      <c r="AN189">
        <f t="shared" si="24"/>
        <v>12</v>
      </c>
      <c r="AO189" t="str">
        <f t="shared" si="25"/>
        <v>21.4.---28.4.---3.5.</v>
      </c>
      <c r="AP189" t="str">
        <f t="shared" si="26"/>
        <v>Pikkulokki</v>
      </c>
      <c r="AQ189" t="str">
        <f t="shared" si="31"/>
        <v>(21.4.---28.4.---3.5., 2/21)</v>
      </c>
    </row>
    <row r="190" spans="1:43" x14ac:dyDescent="0.2">
      <c r="A190" s="1"/>
      <c r="B190" s="9">
        <f t="shared" si="32"/>
        <v>185</v>
      </c>
      <c r="C190" s="10"/>
      <c r="D190" s="15" t="s">
        <v>183</v>
      </c>
      <c r="E190" s="16"/>
      <c r="F190" s="11"/>
      <c r="G190" s="12"/>
      <c r="H190" s="11"/>
      <c r="I190" s="12"/>
      <c r="J190" s="11"/>
      <c r="K190" s="12"/>
      <c r="L190" s="11"/>
      <c r="M190" s="12"/>
      <c r="N190" s="11"/>
      <c r="O190" s="12"/>
      <c r="P190" s="11"/>
      <c r="Q190" s="12"/>
      <c r="R190" s="11"/>
      <c r="S190" s="12"/>
      <c r="T190" s="11"/>
      <c r="U190" s="12"/>
      <c r="V190" s="11"/>
      <c r="W190" s="12"/>
      <c r="X190" s="11"/>
      <c r="Y190" s="12"/>
      <c r="Z190" s="11"/>
      <c r="AA190" s="12"/>
      <c r="AB190" s="11"/>
      <c r="AC190" s="12"/>
      <c r="AD190" s="34"/>
      <c r="AE190" s="33" t="str">
        <f t="shared" si="27"/>
        <v/>
      </c>
      <c r="AF190" s="33" t="str">
        <f t="shared" si="28"/>
        <v/>
      </c>
      <c r="AG190" s="33" t="str">
        <f t="shared" si="29"/>
        <v/>
      </c>
      <c r="AH190">
        <v>235</v>
      </c>
      <c r="AK190" s="36" t="str">
        <f t="shared" si="23"/>
        <v/>
      </c>
      <c r="AL190" t="str">
        <f t="shared" si="30"/>
        <v/>
      </c>
      <c r="AM190" t="s">
        <v>393</v>
      </c>
      <c r="AN190" t="e">
        <f t="shared" si="24"/>
        <v>#VALUE!</v>
      </c>
      <c r="AO190" t="str">
        <f t="shared" si="25"/>
        <v>------</v>
      </c>
      <c r="AP190" t="str">
        <f t="shared" si="26"/>
        <v>Jäälokki</v>
      </c>
      <c r="AQ190" t="str">
        <f t="shared" si="31"/>
        <v>(------)</v>
      </c>
    </row>
    <row r="191" spans="1:43" x14ac:dyDescent="0.2">
      <c r="A191" s="1"/>
      <c r="B191" s="9">
        <f t="shared" si="32"/>
        <v>186</v>
      </c>
      <c r="C191" s="10"/>
      <c r="D191" s="15" t="s">
        <v>184</v>
      </c>
      <c r="E191" s="16"/>
      <c r="F191" s="11"/>
      <c r="G191" s="12"/>
      <c r="H191" s="11"/>
      <c r="I191" s="12"/>
      <c r="J191" s="11">
        <v>43782</v>
      </c>
      <c r="K191" s="12"/>
      <c r="L191" s="11"/>
      <c r="M191" s="12"/>
      <c r="N191" s="11">
        <v>43759</v>
      </c>
      <c r="O191" s="12"/>
      <c r="P191" s="11"/>
      <c r="Q191" s="12"/>
      <c r="R191" s="11"/>
      <c r="S191" s="12"/>
      <c r="T191" s="11"/>
      <c r="U191" s="12"/>
      <c r="V191" s="11"/>
      <c r="W191" s="12"/>
      <c r="X191" s="11">
        <v>43787</v>
      </c>
      <c r="Y191" s="12"/>
      <c r="Z191" s="11">
        <v>43726</v>
      </c>
      <c r="AA191" s="12"/>
      <c r="AB191" s="11"/>
      <c r="AC191" s="12"/>
      <c r="AD191" s="34"/>
      <c r="AE191" s="33">
        <f t="shared" si="27"/>
        <v>43726</v>
      </c>
      <c r="AF191" s="33">
        <f t="shared" si="28"/>
        <v>43770.5</v>
      </c>
      <c r="AG191" s="33">
        <f t="shared" si="29"/>
        <v>43787</v>
      </c>
      <c r="AH191">
        <v>236</v>
      </c>
      <c r="AK191" s="36" t="str">
        <f t="shared" si="23"/>
        <v/>
      </c>
      <c r="AL191" t="str">
        <f t="shared" si="30"/>
        <v/>
      </c>
      <c r="AM191" t="s">
        <v>393</v>
      </c>
      <c r="AN191">
        <f t="shared" si="24"/>
        <v>61</v>
      </c>
      <c r="AO191" t="str">
        <f t="shared" si="25"/>
        <v>18.9.---1.11.---18.11.</v>
      </c>
      <c r="AP191" t="str">
        <f t="shared" si="26"/>
        <v>Tiiralokki</v>
      </c>
      <c r="AQ191" t="str">
        <f t="shared" si="31"/>
        <v>(18.9.---1.11.---18.11.)</v>
      </c>
    </row>
    <row r="192" spans="1:43" x14ac:dyDescent="0.2">
      <c r="A192" s="1"/>
      <c r="B192" s="9">
        <f t="shared" si="32"/>
        <v>187</v>
      </c>
      <c r="C192" s="10"/>
      <c r="D192" s="9" t="s">
        <v>185</v>
      </c>
      <c r="E192" s="10"/>
      <c r="F192" s="11"/>
      <c r="G192" s="12"/>
      <c r="H192" s="11"/>
      <c r="I192" s="12">
        <v>43750</v>
      </c>
      <c r="J192" s="11"/>
      <c r="K192" s="12"/>
      <c r="L192" s="11">
        <v>43767</v>
      </c>
      <c r="M192" s="12"/>
      <c r="N192" s="11">
        <v>43594</v>
      </c>
      <c r="O192" s="12">
        <v>43752</v>
      </c>
      <c r="P192" s="11">
        <v>43749</v>
      </c>
      <c r="Q192" s="12"/>
      <c r="R192" s="11">
        <f>IF(AG1,DATE(2019,1,8),DATE(2019,11,4))</f>
        <v>43773</v>
      </c>
      <c r="S192" s="12"/>
      <c r="T192" s="11">
        <v>43773</v>
      </c>
      <c r="U192" s="12">
        <v>43608</v>
      </c>
      <c r="V192" s="11"/>
      <c r="W192" s="12">
        <v>43760</v>
      </c>
      <c r="X192" s="11">
        <v>43576</v>
      </c>
      <c r="Y192" s="12">
        <v>43607</v>
      </c>
      <c r="Z192" s="11">
        <v>43777</v>
      </c>
      <c r="AA192" s="12">
        <v>43768</v>
      </c>
      <c r="AB192" s="11">
        <v>43763</v>
      </c>
      <c r="AC192" s="12">
        <v>43488</v>
      </c>
      <c r="AD192" s="34"/>
      <c r="AE192" s="33">
        <f t="shared" si="27"/>
        <v>43576</v>
      </c>
      <c r="AF192" s="33">
        <f t="shared" si="28"/>
        <v>43751</v>
      </c>
      <c r="AG192" s="33">
        <f t="shared" si="29"/>
        <v>43777</v>
      </c>
      <c r="AH192">
        <v>237</v>
      </c>
      <c r="AK192" s="36" t="str">
        <f t="shared" si="23"/>
        <v/>
      </c>
      <c r="AL192" t="str">
        <f t="shared" si="30"/>
        <v/>
      </c>
      <c r="AM192">
        <v>1</v>
      </c>
      <c r="AN192">
        <f t="shared" si="24"/>
        <v>201</v>
      </c>
      <c r="AO192" t="str">
        <f t="shared" si="25"/>
        <v>21.4.---13.10.---8.11.</v>
      </c>
      <c r="AP192" t="str">
        <f t="shared" si="26"/>
        <v>Pikkukajava</v>
      </c>
      <c r="AQ192" t="str">
        <f t="shared" si="31"/>
        <v>(21.4.---13.10.---8.11., 1/21)</v>
      </c>
    </row>
    <row r="193" spans="1:43" x14ac:dyDescent="0.2">
      <c r="A193" s="1"/>
      <c r="B193" s="9">
        <f t="shared" si="32"/>
        <v>188</v>
      </c>
      <c r="C193" s="10"/>
      <c r="D193" s="9" t="s">
        <v>186</v>
      </c>
      <c r="E193" s="10"/>
      <c r="F193" s="11">
        <v>43561</v>
      </c>
      <c r="G193" s="12">
        <f>IF(AG1,DATE(2019,1,1),DATE(2019,4,5))</f>
        <v>43560</v>
      </c>
      <c r="H193" s="11">
        <v>43553</v>
      </c>
      <c r="I193" s="12">
        <v>43567</v>
      </c>
      <c r="J193" s="11">
        <v>43557</v>
      </c>
      <c r="K193" s="12">
        <v>43557</v>
      </c>
      <c r="L193" s="11">
        <v>43562</v>
      </c>
      <c r="M193" s="12">
        <f>IF(AG1,DATE(2019,1,6),DATE(2019,3,26))</f>
        <v>43550</v>
      </c>
      <c r="N193" s="11">
        <v>43555</v>
      </c>
      <c r="O193" s="12">
        <v>43561</v>
      </c>
      <c r="P193" s="11">
        <v>43558</v>
      </c>
      <c r="Q193" s="12">
        <v>43560</v>
      </c>
      <c r="R193" s="11">
        <f>IF(AG1,DATE(2019,1,1),DATE(2019,3,17))</f>
        <v>43541</v>
      </c>
      <c r="S193" s="12">
        <v>43559</v>
      </c>
      <c r="T193" s="11">
        <v>43530</v>
      </c>
      <c r="U193" s="12">
        <v>43539</v>
      </c>
      <c r="V193" s="11">
        <v>43551</v>
      </c>
      <c r="W193" s="12">
        <v>43559</v>
      </c>
      <c r="X193" s="11">
        <v>43564</v>
      </c>
      <c r="Y193" s="12">
        <v>43557</v>
      </c>
      <c r="Z193" s="11">
        <v>43550</v>
      </c>
      <c r="AA193" s="12">
        <f>IF(AG1,DATE(2019,1,2),DATE(2019,3,30))</f>
        <v>43554</v>
      </c>
      <c r="AB193" s="11">
        <v>43564</v>
      </c>
      <c r="AC193" s="12">
        <v>43562</v>
      </c>
      <c r="AD193" s="34"/>
      <c r="AE193" s="33">
        <f t="shared" si="27"/>
        <v>43530</v>
      </c>
      <c r="AF193" s="33">
        <f t="shared" si="28"/>
        <v>43557</v>
      </c>
      <c r="AG193" s="33">
        <f t="shared" si="29"/>
        <v>43567</v>
      </c>
      <c r="AH193">
        <v>239</v>
      </c>
      <c r="AK193" s="36" t="str">
        <f t="shared" si="23"/>
        <v/>
      </c>
      <c r="AL193" t="str">
        <f t="shared" si="30"/>
        <v/>
      </c>
      <c r="AM193">
        <v>3</v>
      </c>
      <c r="AN193">
        <f t="shared" si="24"/>
        <v>37</v>
      </c>
      <c r="AO193" t="str">
        <f t="shared" si="25"/>
        <v>6.3.---2.4.---12.4.</v>
      </c>
      <c r="AP193" t="str">
        <f t="shared" si="26"/>
        <v>Naurulokki</v>
      </c>
      <c r="AQ193" t="str">
        <f t="shared" si="31"/>
        <v>(6.3.---2.4.---12.4., 3/21)</v>
      </c>
    </row>
    <row r="194" spans="1:43" x14ac:dyDescent="0.2">
      <c r="A194" s="1"/>
      <c r="B194" s="9">
        <f t="shared" si="32"/>
        <v>189</v>
      </c>
      <c r="C194" s="10"/>
      <c r="D194" s="15" t="s">
        <v>187</v>
      </c>
      <c r="E194" s="16"/>
      <c r="F194" s="11"/>
      <c r="G194" s="12"/>
      <c r="H194" s="11"/>
      <c r="I194" s="12"/>
      <c r="J194" s="11"/>
      <c r="K194" s="12"/>
      <c r="L194" s="11"/>
      <c r="M194" s="12"/>
      <c r="N194" s="11"/>
      <c r="O194" s="12"/>
      <c r="P194" s="11"/>
      <c r="Q194" s="12"/>
      <c r="R194" s="11"/>
      <c r="S194" s="12"/>
      <c r="T194" s="11"/>
      <c r="U194" s="12"/>
      <c r="V194" s="11"/>
      <c r="W194" s="12"/>
      <c r="X194" s="11"/>
      <c r="Y194" s="12"/>
      <c r="Z194" s="11"/>
      <c r="AA194" s="12"/>
      <c r="AB194" s="11"/>
      <c r="AC194" s="12"/>
      <c r="AD194" s="34"/>
      <c r="AE194" s="33" t="str">
        <f t="shared" si="27"/>
        <v/>
      </c>
      <c r="AF194" s="33" t="str">
        <f t="shared" si="28"/>
        <v/>
      </c>
      <c r="AG194" s="33" t="str">
        <f t="shared" si="29"/>
        <v/>
      </c>
      <c r="AH194">
        <v>241</v>
      </c>
      <c r="AK194" s="36" t="str">
        <f t="shared" si="23"/>
        <v/>
      </c>
      <c r="AL194" t="str">
        <f t="shared" si="30"/>
        <v/>
      </c>
      <c r="AM194" t="s">
        <v>393</v>
      </c>
      <c r="AN194" t="e">
        <f t="shared" si="24"/>
        <v>#VALUE!</v>
      </c>
      <c r="AO194" t="str">
        <f t="shared" si="25"/>
        <v>------</v>
      </c>
      <c r="AP194" t="str">
        <f t="shared" si="26"/>
        <v>Preerianaurulokki</v>
      </c>
      <c r="AQ194" t="str">
        <f t="shared" si="31"/>
        <v>(------)</v>
      </c>
    </row>
    <row r="195" spans="1:43" x14ac:dyDescent="0.2">
      <c r="A195" s="1"/>
      <c r="B195" s="9">
        <f t="shared" si="32"/>
        <v>190</v>
      </c>
      <c r="C195" s="10"/>
      <c r="D195" s="19" t="s">
        <v>188</v>
      </c>
      <c r="E195" s="10"/>
      <c r="F195" s="11"/>
      <c r="G195" s="12"/>
      <c r="H195" s="11"/>
      <c r="I195" s="12"/>
      <c r="J195" s="11"/>
      <c r="K195" s="12"/>
      <c r="L195" s="11"/>
      <c r="M195" s="12"/>
      <c r="N195" s="11"/>
      <c r="O195" s="12"/>
      <c r="P195" s="11"/>
      <c r="Q195" s="12">
        <v>43760</v>
      </c>
      <c r="R195" s="11"/>
      <c r="S195" s="12"/>
      <c r="T195" s="11"/>
      <c r="U195" s="12"/>
      <c r="V195" s="11"/>
      <c r="W195" s="12"/>
      <c r="X195" s="11"/>
      <c r="Y195" s="12"/>
      <c r="Z195" s="11"/>
      <c r="AA195" s="12"/>
      <c r="AB195" s="11"/>
      <c r="AC195" s="12"/>
      <c r="AD195" s="34"/>
      <c r="AE195" s="33">
        <f t="shared" si="27"/>
        <v>43760</v>
      </c>
      <c r="AF195" s="33">
        <f t="shared" si="28"/>
        <v>43760</v>
      </c>
      <c r="AG195" s="33">
        <f t="shared" si="29"/>
        <v>43760</v>
      </c>
      <c r="AH195">
        <v>242</v>
      </c>
      <c r="AK195" s="36" t="str">
        <f t="shared" si="23"/>
        <v/>
      </c>
      <c r="AL195" t="str">
        <f t="shared" si="30"/>
        <v/>
      </c>
      <c r="AM195" t="s">
        <v>393</v>
      </c>
      <c r="AN195">
        <f t="shared" si="24"/>
        <v>0</v>
      </c>
      <c r="AO195" t="str">
        <f t="shared" si="25"/>
        <v>22.10.---22.10.---22.10.</v>
      </c>
      <c r="AP195" t="str">
        <f t="shared" si="26"/>
        <v>Välimerenlokki</v>
      </c>
      <c r="AQ195" t="str">
        <f t="shared" si="31"/>
        <v>(22.10.---22.10.---22.10.)</v>
      </c>
    </row>
    <row r="196" spans="1:43" x14ac:dyDescent="0.2">
      <c r="A196" s="1"/>
      <c r="B196" s="9">
        <f t="shared" si="32"/>
        <v>191</v>
      </c>
      <c r="C196" s="10"/>
      <c r="D196" s="15" t="s">
        <v>189</v>
      </c>
      <c r="E196" s="16"/>
      <c r="F196" s="11"/>
      <c r="G196" s="12"/>
      <c r="H196" s="11"/>
      <c r="I196" s="12"/>
      <c r="J196" s="11"/>
      <c r="K196" s="12"/>
      <c r="L196" s="11"/>
      <c r="M196" s="12"/>
      <c r="N196" s="11"/>
      <c r="O196" s="12"/>
      <c r="P196" s="11"/>
      <c r="Q196" s="12"/>
      <c r="R196" s="11">
        <v>43473</v>
      </c>
      <c r="S196" s="12"/>
      <c r="T196" s="11"/>
      <c r="U196" s="12"/>
      <c r="V196" s="11"/>
      <c r="W196" s="12"/>
      <c r="X196" s="11"/>
      <c r="Y196" s="12"/>
      <c r="Z196" s="11"/>
      <c r="AA196" s="12"/>
      <c r="AB196" s="11"/>
      <c r="AC196" s="12"/>
      <c r="AD196" s="34"/>
      <c r="AE196" s="33">
        <f t="shared" si="27"/>
        <v>43473</v>
      </c>
      <c r="AF196" s="33">
        <f t="shared" si="28"/>
        <v>43473</v>
      </c>
      <c r="AG196" s="33">
        <f t="shared" si="29"/>
        <v>43473</v>
      </c>
      <c r="AH196">
        <v>243</v>
      </c>
      <c r="AK196" s="36" t="str">
        <f t="shared" ref="AK196:AK260" si="33">IF(AI196&lt;&gt;"",D196 &amp; "x" &amp; TEXT(AE196, "pp.kk.")  &amp; "2019x" &amp; TEXT(Z196, "pp.kk.") &amp; "2019","")</f>
        <v/>
      </c>
      <c r="AL196">
        <f t="shared" si="30"/>
        <v>1</v>
      </c>
      <c r="AM196">
        <v>1</v>
      </c>
      <c r="AN196">
        <f t="shared" ref="AN196:AN260" si="34">AG196-AE196</f>
        <v>0</v>
      </c>
      <c r="AO196" t="str">
        <f t="shared" ref="AO196:AO259" si="35">TEXT(AE196, "p.k.")  &amp; "---" &amp; TEXT(AF196, "p.k.")  &amp; "---" &amp; TEXT(AG196, "p.k.")</f>
        <v>8.1.---8.1.---8.1.</v>
      </c>
      <c r="AP196" t="str">
        <f t="shared" ref="AP196:AP260" si="36">D196</f>
        <v>Mustanmerenlokki</v>
      </c>
      <c r="AQ196" t="str">
        <f t="shared" si="31"/>
        <v>(8.1.---8.1.---8.1., 1/21)</v>
      </c>
    </row>
    <row r="197" spans="1:43" x14ac:dyDescent="0.2">
      <c r="A197" s="1"/>
      <c r="B197" s="9">
        <f t="shared" si="32"/>
        <v>192</v>
      </c>
      <c r="D197" s="9" t="s">
        <v>190</v>
      </c>
      <c r="F197" s="20">
        <f>IF(AG1,DATE(2019,1,9),DATE(2019,4,13))</f>
        <v>43568</v>
      </c>
      <c r="G197" s="21">
        <f>IF(AG1,DATE(2019,1,1),DATE(2019,4,7))</f>
        <v>43562</v>
      </c>
      <c r="H197" s="20">
        <f>IF(AG1,DATE(2019,1,1),DATE(2019,4,8))</f>
        <v>43563</v>
      </c>
      <c r="I197" s="21">
        <f>IF(AG1,DATE(2019,2,8),DATE(2019,3,16))</f>
        <v>43540</v>
      </c>
      <c r="J197" s="20">
        <f>IF(AG1,DATE(2019,1,1),DATE(2019,3,18))</f>
        <v>43542</v>
      </c>
      <c r="K197" s="21">
        <f>IF(AG1,DATE(2019,1,1),DATE(2019,3,31))</f>
        <v>43555</v>
      </c>
      <c r="L197" s="20">
        <f>IF(AG1,DATE(2019,1,2),DATE(2019,4,10))</f>
        <v>43565</v>
      </c>
      <c r="M197" s="21">
        <f>IF(AG1,DATE(2019,1,1),DATE(2019,3,2))</f>
        <v>43526</v>
      </c>
      <c r="N197" s="20">
        <f>IF(AG1,DATE(2019,1,1),DATE(2019,3,31))</f>
        <v>43555</v>
      </c>
      <c r="O197" s="21">
        <f>IF(AG1,DATE(2019,1,1),DATE(2019,4,9))</f>
        <v>43564</v>
      </c>
      <c r="P197" s="20">
        <f>IF(AG1,DATE(2019,1,1),DATE(2019,4,4))</f>
        <v>43559</v>
      </c>
      <c r="Q197" s="12">
        <f>IF(AG1,DATE(2019,1,11),DATE(2019,3,29))</f>
        <v>43553</v>
      </c>
      <c r="R197" s="11">
        <f>IF(AG1,DATE(2019,1,1),DATE(2019,4,11))</f>
        <v>43566</v>
      </c>
      <c r="S197" s="12">
        <f>IF(AG1,DATE(2019,1,1),DATE(2019,3,23))</f>
        <v>43547</v>
      </c>
      <c r="T197" s="11">
        <f>IF(AG1,DATE(2019,1,1),DATE(2019,3,9))</f>
        <v>43533</v>
      </c>
      <c r="U197" s="12">
        <f>IF(AG1,DATE(2019,1,1),DATE(2019,4,1))</f>
        <v>43556</v>
      </c>
      <c r="V197" s="11">
        <f>IF(AG1,DATE(2019,1,1),DATE(2019,3,27))</f>
        <v>43551</v>
      </c>
      <c r="W197" s="12">
        <f>IF(AG1,DATE(2019,1,1),DATE(2019,4,4))</f>
        <v>43559</v>
      </c>
      <c r="X197" s="11">
        <f>IF(AG1,DATE(2019,1,1),DATE(2019,3,31))</f>
        <v>43555</v>
      </c>
      <c r="Y197" s="12">
        <f>IF(AG1,DATE(2019,1,1),DATE(2019,3,19))</f>
        <v>43543</v>
      </c>
      <c r="Z197" s="11">
        <f>IF(AG1,DATE(2019,1,1),DATE(2019,3,27))</f>
        <v>43551</v>
      </c>
      <c r="AA197" s="12">
        <f>IF(AG1,DATE(2019,1,1),DATE(2019,3,25))</f>
        <v>43549</v>
      </c>
      <c r="AB197" s="11">
        <f>IF(AF1,DATE(2019,1,1),DATE(2019,3,16))</f>
        <v>43540</v>
      </c>
      <c r="AC197" s="12">
        <v>43466</v>
      </c>
      <c r="AD197" s="34"/>
      <c r="AE197" s="33">
        <f t="shared" ref="AE197:AE260" si="37">IF(SUM(F197:Z197)&gt;0,MIN(F197:Z197),"")</f>
        <v>43526</v>
      </c>
      <c r="AF197" s="33">
        <f t="shared" ref="AF197:AF260" si="38">IF(SUM(F197:Z197)&gt;0,MEDIAN(F197:Z197),"")</f>
        <v>43555</v>
      </c>
      <c r="AG197" s="33">
        <f t="shared" ref="AG197:AG260" si="39">IF(SUM(F197:Z197)&gt;0,MAX(F197:Z197),"")</f>
        <v>43568</v>
      </c>
      <c r="AH197">
        <v>244</v>
      </c>
      <c r="AK197" s="36" t="str">
        <f t="shared" si="33"/>
        <v/>
      </c>
      <c r="AL197" t="str">
        <f t="shared" ref="AL197:AL260" si="40">IF(COUNTIF(F197:Z197,"&lt;01.03.2019")&gt;0,COUNTIF(F197:Z197,"&lt;01.03.2019"),"")</f>
        <v/>
      </c>
      <c r="AM197">
        <v>21</v>
      </c>
      <c r="AN197">
        <f t="shared" si="34"/>
        <v>42</v>
      </c>
      <c r="AO197" t="str">
        <f t="shared" si="35"/>
        <v>2.3.---31.3.---13.4.</v>
      </c>
      <c r="AP197" t="str">
        <f t="shared" si="36"/>
        <v>Kalalokki</v>
      </c>
      <c r="AQ197" t="str">
        <f t="shared" ref="AQ197:AQ260" si="41">IF(AND(AM197&gt;0,AM197&lt;&gt;""),"(" &amp;AO197 &amp; ", " &amp; AM197 &amp; "/21)","(" &amp; AO197 &amp; ")")</f>
        <v>(2.3.---31.3.---13.4., 21/21)</v>
      </c>
    </row>
    <row r="198" spans="1:43" x14ac:dyDescent="0.2">
      <c r="A198" s="1"/>
      <c r="B198" s="9">
        <f t="shared" si="32"/>
        <v>193</v>
      </c>
      <c r="C198" s="10"/>
      <c r="D198" s="9" t="s">
        <v>191</v>
      </c>
      <c r="E198" s="10"/>
      <c r="F198" s="11">
        <v>43570</v>
      </c>
      <c r="G198" s="12">
        <v>43562</v>
      </c>
      <c r="H198" s="11">
        <v>43566</v>
      </c>
      <c r="I198" s="12">
        <v>43570</v>
      </c>
      <c r="J198" s="11">
        <v>43555</v>
      </c>
      <c r="K198" s="12">
        <v>43551</v>
      </c>
      <c r="L198" s="11">
        <v>43561</v>
      </c>
      <c r="M198" s="12">
        <v>43549</v>
      </c>
      <c r="N198" s="11">
        <v>43555</v>
      </c>
      <c r="O198" s="12">
        <v>43555</v>
      </c>
      <c r="P198" s="11">
        <v>43562</v>
      </c>
      <c r="Q198" s="12">
        <v>43562</v>
      </c>
      <c r="R198" s="11">
        <f>IF(AG1,DATE(2019,1,2),DATE(2019,3,29))</f>
        <v>43553</v>
      </c>
      <c r="S198" s="12">
        <v>43566</v>
      </c>
      <c r="T198" s="11">
        <v>43551</v>
      </c>
      <c r="U198" s="12">
        <v>43542</v>
      </c>
      <c r="V198" s="11">
        <v>43552</v>
      </c>
      <c r="W198" s="12">
        <v>43561</v>
      </c>
      <c r="X198" s="11">
        <v>43569</v>
      </c>
      <c r="Y198" s="12">
        <v>43562</v>
      </c>
      <c r="Z198" s="11">
        <v>43551</v>
      </c>
      <c r="AA198" s="12">
        <v>43566</v>
      </c>
      <c r="AB198" s="11">
        <v>43545</v>
      </c>
      <c r="AC198" s="12">
        <v>43566</v>
      </c>
      <c r="AD198" s="34"/>
      <c r="AE198" s="33">
        <f t="shared" si="37"/>
        <v>43542</v>
      </c>
      <c r="AF198" s="33">
        <f t="shared" si="38"/>
        <v>43561</v>
      </c>
      <c r="AG198" s="33">
        <f t="shared" si="39"/>
        <v>43570</v>
      </c>
      <c r="AH198">
        <v>245</v>
      </c>
      <c r="AK198" s="36" t="str">
        <f t="shared" si="33"/>
        <v/>
      </c>
      <c r="AL198" t="str">
        <f t="shared" si="40"/>
        <v/>
      </c>
      <c r="AM198">
        <v>1</v>
      </c>
      <c r="AN198">
        <f t="shared" si="34"/>
        <v>28</v>
      </c>
      <c r="AO198" t="str">
        <f t="shared" si="35"/>
        <v>18.3.---6.4.---15.4.</v>
      </c>
      <c r="AP198" t="str">
        <f t="shared" si="36"/>
        <v>Selkälokki</v>
      </c>
      <c r="AQ198" t="str">
        <f t="shared" si="41"/>
        <v>(18.3.---6.4.---15.4., 1/21)</v>
      </c>
    </row>
    <row r="199" spans="1:43" x14ac:dyDescent="0.2">
      <c r="A199" s="1"/>
      <c r="B199" s="9">
        <f t="shared" si="32"/>
        <v>194</v>
      </c>
      <c r="C199" s="10"/>
      <c r="D199" s="9" t="s">
        <v>192</v>
      </c>
      <c r="E199" s="10"/>
      <c r="F199" s="11">
        <f>IF(AG1,DATE(2019,1,1),DATE(2019,2,12))</f>
        <v>43508</v>
      </c>
      <c r="G199" s="12">
        <f>IF(AG1,DATE(2019,1,2),DATE(2019,3,28))</f>
        <v>43552</v>
      </c>
      <c r="H199" s="11">
        <f>IF(AG1,DATE(2019,1,5),DATE(2019,2,9))</f>
        <v>43505</v>
      </c>
      <c r="I199" s="12">
        <f>IF(AG1,DATE(2019,1,1),DATE(2019,3,8))</f>
        <v>43532</v>
      </c>
      <c r="J199" s="11">
        <f>IF(AG1,DATE(2019,1,1),DATE(2019,3,7))</f>
        <v>43531</v>
      </c>
      <c r="K199" s="12">
        <f>IF(AG1,DATE(2019,1,1),DATE(2019,3,6))</f>
        <v>43530</v>
      </c>
      <c r="L199" s="11">
        <f>IF(AG1,DATE(2019,1,1),DATE(2019,3,20))</f>
        <v>43544</v>
      </c>
      <c r="M199" s="12">
        <f>IF(AG1,DATE(2019,1,1),DATE(2019,3,3))</f>
        <v>43527</v>
      </c>
      <c r="N199" s="11">
        <f>IF(AG1,DATE(2019,1,1),DATE(2019,3,10))</f>
        <v>43534</v>
      </c>
      <c r="O199" s="12">
        <f>IF(AG1,DATE(2019,1,1),DATE(2019,3,3))</f>
        <v>43527</v>
      </c>
      <c r="P199" s="11">
        <f>IF(AG1,DATE(2019,1,2),DATE(2019,3,16))</f>
        <v>43540</v>
      </c>
      <c r="Q199" s="12">
        <f>IF(AG1,DATE(2019,1,9),DATE(2019,3,3))</f>
        <v>43527</v>
      </c>
      <c r="R199" s="11">
        <f>IF(AG1,DATE(2019,1,1),DATE(2019,3,1))</f>
        <v>43525</v>
      </c>
      <c r="S199" s="12">
        <v>43466</v>
      </c>
      <c r="T199" s="11">
        <f>IF(AG1,DATE(2019,1,1),DATE(2019,2,26))</f>
        <v>43522</v>
      </c>
      <c r="U199" s="12">
        <f>IF(AG1,DATE(2019,1,1),DATE(2019,2,20))</f>
        <v>43516</v>
      </c>
      <c r="V199" s="11">
        <v>43466</v>
      </c>
      <c r="W199" s="12">
        <f>IF(AG1,DATE(2019,1,1),DATE(2019,3,16))</f>
        <v>43540</v>
      </c>
      <c r="X199" s="11">
        <f>IF(AG1,DATE(2019,1,1),DATE(2019,3,27))</f>
        <v>43551</v>
      </c>
      <c r="Y199" s="12">
        <v>43466</v>
      </c>
      <c r="Z199" s="11">
        <v>43466</v>
      </c>
      <c r="AA199" s="12">
        <v>43466</v>
      </c>
      <c r="AB199" s="11">
        <v>43466</v>
      </c>
      <c r="AC199" s="12">
        <v>43466</v>
      </c>
      <c r="AD199" s="34"/>
      <c r="AE199" s="33">
        <f t="shared" si="37"/>
        <v>43466</v>
      </c>
      <c r="AF199" s="33">
        <f t="shared" si="38"/>
        <v>43527</v>
      </c>
      <c r="AG199" s="33">
        <f t="shared" si="39"/>
        <v>43552</v>
      </c>
      <c r="AH199">
        <v>246</v>
      </c>
      <c r="AK199" s="36" t="str">
        <f t="shared" si="33"/>
        <v/>
      </c>
      <c r="AL199">
        <f t="shared" si="40"/>
        <v>8</v>
      </c>
      <c r="AM199">
        <v>21</v>
      </c>
      <c r="AN199">
        <f t="shared" si="34"/>
        <v>86</v>
      </c>
      <c r="AO199" t="str">
        <f t="shared" si="35"/>
        <v>1.1.---3.3.---28.3.</v>
      </c>
      <c r="AP199" t="str">
        <f t="shared" si="36"/>
        <v>Harmaalokki</v>
      </c>
      <c r="AQ199" t="str">
        <f t="shared" si="41"/>
        <v>(1.1.---3.3.---28.3., 21/21)</v>
      </c>
    </row>
    <row r="200" spans="1:43" x14ac:dyDescent="0.2">
      <c r="A200" s="1"/>
      <c r="B200" s="9">
        <f t="shared" si="32"/>
        <v>195</v>
      </c>
      <c r="C200" s="10"/>
      <c r="D200" s="15" t="s">
        <v>193</v>
      </c>
      <c r="E200" s="16"/>
      <c r="F200" s="11"/>
      <c r="G200" s="12"/>
      <c r="H200" s="11"/>
      <c r="I200" s="12">
        <v>43757</v>
      </c>
      <c r="J200" s="11">
        <v>43619</v>
      </c>
      <c r="K200" s="12">
        <v>43713</v>
      </c>
      <c r="L200" s="11"/>
      <c r="M200" s="12"/>
      <c r="N200" s="11"/>
      <c r="O200" s="12"/>
      <c r="P200" s="11"/>
      <c r="Q200" s="12"/>
      <c r="R200" s="11"/>
      <c r="S200" s="12"/>
      <c r="T200" s="11"/>
      <c r="U200" s="12"/>
      <c r="V200" s="11"/>
      <c r="W200" s="12"/>
      <c r="X200" s="11"/>
      <c r="Y200" s="12"/>
      <c r="Z200" s="11"/>
      <c r="AA200" s="12"/>
      <c r="AB200" s="11"/>
      <c r="AC200" s="12"/>
      <c r="AD200" s="34"/>
      <c r="AE200" s="33">
        <f t="shared" si="37"/>
        <v>43619</v>
      </c>
      <c r="AF200" s="33">
        <f t="shared" si="38"/>
        <v>43713</v>
      </c>
      <c r="AG200" s="33">
        <f t="shared" si="39"/>
        <v>43757</v>
      </c>
      <c r="AH200">
        <v>247</v>
      </c>
      <c r="AK200" s="36" t="str">
        <f t="shared" si="33"/>
        <v/>
      </c>
      <c r="AL200" t="str">
        <f t="shared" si="40"/>
        <v/>
      </c>
      <c r="AM200" t="s">
        <v>393</v>
      </c>
      <c r="AN200">
        <f t="shared" si="34"/>
        <v>138</v>
      </c>
      <c r="AO200" t="str">
        <f t="shared" si="35"/>
        <v>3.6.---5.9.---19.10.</v>
      </c>
      <c r="AP200" t="str">
        <f t="shared" si="36"/>
        <v>Aroharmaalokki</v>
      </c>
      <c r="AQ200" t="str">
        <f t="shared" si="41"/>
        <v>(3.6.---5.9.---19.10.)</v>
      </c>
    </row>
    <row r="201" spans="1:43" x14ac:dyDescent="0.2">
      <c r="A201" s="1"/>
      <c r="B201" s="9">
        <f t="shared" si="32"/>
        <v>196</v>
      </c>
      <c r="C201" s="10"/>
      <c r="D201" s="15" t="s">
        <v>397</v>
      </c>
      <c r="E201" s="16"/>
      <c r="F201" s="11"/>
      <c r="G201" s="12"/>
      <c r="H201" s="11"/>
      <c r="I201" s="12"/>
      <c r="J201" s="11"/>
      <c r="K201" s="12"/>
      <c r="L201" s="11"/>
      <c r="M201" s="12"/>
      <c r="N201" s="11"/>
      <c r="O201" s="12"/>
      <c r="P201" s="11"/>
      <c r="Q201" s="12"/>
      <c r="R201" s="11"/>
      <c r="S201" s="12"/>
      <c r="T201" s="11"/>
      <c r="U201" s="12"/>
      <c r="V201" s="11"/>
      <c r="W201" s="12"/>
      <c r="X201" s="11"/>
      <c r="Y201" s="12"/>
      <c r="Z201" s="11"/>
      <c r="AA201" s="12"/>
      <c r="AB201" s="11"/>
      <c r="AC201" s="12">
        <v>43596</v>
      </c>
      <c r="AD201" s="34"/>
      <c r="AE201" s="33" t="str">
        <f t="shared" si="37"/>
        <v/>
      </c>
      <c r="AF201" s="33" t="str">
        <f t="shared" si="38"/>
        <v/>
      </c>
      <c r="AG201" s="33" t="str">
        <f t="shared" si="39"/>
        <v/>
      </c>
      <c r="AH201">
        <v>248</v>
      </c>
      <c r="AI201" s="47"/>
      <c r="AK201" s="36" t="str">
        <f t="shared" si="33"/>
        <v/>
      </c>
      <c r="AL201" t="str">
        <f t="shared" si="40"/>
        <v/>
      </c>
      <c r="AM201" t="s">
        <v>393</v>
      </c>
      <c r="AN201" t="e">
        <f t="shared" si="34"/>
        <v>#VALUE!</v>
      </c>
      <c r="AO201" t="str">
        <f t="shared" si="35"/>
        <v>------</v>
      </c>
      <c r="AP201" t="str">
        <f t="shared" si="36"/>
        <v>Etelänharmaalokki</v>
      </c>
      <c r="AQ201" t="str">
        <f t="shared" si="41"/>
        <v>(------)</v>
      </c>
    </row>
    <row r="202" spans="1:43" x14ac:dyDescent="0.2">
      <c r="A202" s="1"/>
      <c r="B202" s="9">
        <f t="shared" si="32"/>
        <v>197</v>
      </c>
      <c r="C202" s="10"/>
      <c r="D202" s="15" t="s">
        <v>194</v>
      </c>
      <c r="E202" s="16"/>
      <c r="F202" s="11"/>
      <c r="G202" s="12"/>
      <c r="H202" s="11"/>
      <c r="I202" s="12"/>
      <c r="J202" s="11"/>
      <c r="K202" s="12">
        <v>43591</v>
      </c>
      <c r="L202" s="11"/>
      <c r="M202" s="12"/>
      <c r="N202" s="11"/>
      <c r="O202" s="12"/>
      <c r="P202" s="11"/>
      <c r="Q202" s="12"/>
      <c r="R202" s="11"/>
      <c r="S202" s="12">
        <v>43603</v>
      </c>
      <c r="T202" s="11">
        <v>43766</v>
      </c>
      <c r="U202" s="12"/>
      <c r="V202" s="11"/>
      <c r="W202" s="12"/>
      <c r="X202" s="11"/>
      <c r="Y202" s="12"/>
      <c r="Z202" s="11">
        <v>43792</v>
      </c>
      <c r="AA202" s="12"/>
      <c r="AB202" s="11"/>
      <c r="AC202" s="12"/>
      <c r="AD202" s="34"/>
      <c r="AE202" s="33">
        <f t="shared" si="37"/>
        <v>43591</v>
      </c>
      <c r="AF202" s="33">
        <f t="shared" si="38"/>
        <v>43684.5</v>
      </c>
      <c r="AG202" s="33">
        <f t="shared" si="39"/>
        <v>43792</v>
      </c>
      <c r="AH202">
        <v>250</v>
      </c>
      <c r="AK202" s="36" t="str">
        <f t="shared" si="33"/>
        <v/>
      </c>
      <c r="AL202" t="str">
        <f t="shared" si="40"/>
        <v/>
      </c>
      <c r="AM202" t="s">
        <v>393</v>
      </c>
      <c r="AN202">
        <f t="shared" si="34"/>
        <v>201</v>
      </c>
      <c r="AO202" t="str">
        <f t="shared" si="35"/>
        <v>6.5.---7.8.---23.11.</v>
      </c>
      <c r="AP202" t="str">
        <f t="shared" si="36"/>
        <v>Grönlanninlokki</v>
      </c>
      <c r="AQ202" t="str">
        <f t="shared" si="41"/>
        <v>(6.5.---7.8.---23.11.)</v>
      </c>
    </row>
    <row r="203" spans="1:43" x14ac:dyDescent="0.2">
      <c r="A203" s="1"/>
      <c r="B203" s="9">
        <f t="shared" si="32"/>
        <v>198</v>
      </c>
      <c r="C203" s="10"/>
      <c r="D203" s="9" t="s">
        <v>195</v>
      </c>
      <c r="E203" s="10"/>
      <c r="F203" s="11">
        <v>43491</v>
      </c>
      <c r="G203" s="12">
        <v>43481</v>
      </c>
      <c r="H203" s="11">
        <v>43477</v>
      </c>
      <c r="I203" s="12">
        <v>43490</v>
      </c>
      <c r="J203" s="11">
        <v>43472</v>
      </c>
      <c r="K203" s="12">
        <v>43466</v>
      </c>
      <c r="L203" s="11">
        <v>43468</v>
      </c>
      <c r="M203" s="12">
        <v>43466</v>
      </c>
      <c r="N203" s="11">
        <v>43490</v>
      </c>
      <c r="O203" s="12">
        <v>43466</v>
      </c>
      <c r="P203" s="11">
        <v>43555</v>
      </c>
      <c r="Q203" s="12">
        <v>43494</v>
      </c>
      <c r="R203" s="11">
        <v>43466</v>
      </c>
      <c r="S203" s="12">
        <v>43469</v>
      </c>
      <c r="T203" s="11">
        <v>43466</v>
      </c>
      <c r="U203" s="12">
        <v>43466</v>
      </c>
      <c r="V203" s="11">
        <v>43508</v>
      </c>
      <c r="W203" s="12">
        <v>43466</v>
      </c>
      <c r="X203" s="11">
        <v>43466</v>
      </c>
      <c r="Y203" s="12">
        <v>43512</v>
      </c>
      <c r="Z203" s="11">
        <v>43466</v>
      </c>
      <c r="AA203" s="12">
        <v>43468</v>
      </c>
      <c r="AB203" s="11">
        <v>43478</v>
      </c>
      <c r="AC203" s="12">
        <v>43493</v>
      </c>
      <c r="AD203" s="34"/>
      <c r="AE203" s="33">
        <f t="shared" si="37"/>
        <v>43466</v>
      </c>
      <c r="AF203" s="33">
        <f t="shared" si="38"/>
        <v>43469</v>
      </c>
      <c r="AG203" s="33">
        <f t="shared" si="39"/>
        <v>43555</v>
      </c>
      <c r="AH203">
        <v>251</v>
      </c>
      <c r="AK203" s="36" t="str">
        <f t="shared" si="33"/>
        <v/>
      </c>
      <c r="AL203">
        <f t="shared" si="40"/>
        <v>20</v>
      </c>
      <c r="AM203">
        <v>20</v>
      </c>
      <c r="AN203">
        <f t="shared" si="34"/>
        <v>89</v>
      </c>
      <c r="AO203" t="str">
        <f t="shared" si="35"/>
        <v>1.1.---4.1.---31.3.</v>
      </c>
      <c r="AP203" t="str">
        <f t="shared" si="36"/>
        <v>Isolokki</v>
      </c>
      <c r="AQ203" t="str">
        <f t="shared" si="41"/>
        <v>(1.1.---4.1.---31.3., 20/21)</v>
      </c>
    </row>
    <row r="204" spans="1:43" x14ac:dyDescent="0.2">
      <c r="A204" s="1"/>
      <c r="B204" s="9">
        <f t="shared" si="32"/>
        <v>199</v>
      </c>
      <c r="C204" s="10"/>
      <c r="D204" s="9" t="s">
        <v>196</v>
      </c>
      <c r="E204" s="10"/>
      <c r="F204" s="11">
        <f>IF(AG1,DATE(2019,1,3),DATE(2019,2,12))</f>
        <v>43508</v>
      </c>
      <c r="G204" s="12">
        <f>IF(AG1,DATE(2019,1,15),DATE(2019,3,9))</f>
        <v>43533</v>
      </c>
      <c r="H204" s="11">
        <v>43505</v>
      </c>
      <c r="I204" s="12">
        <f>IF(AG1,DATE(2019,1,25),DATE(2019,3,7))</f>
        <v>43531</v>
      </c>
      <c r="J204" s="11">
        <f>IF(AG1,DATE(2019,1,7),DATE(2019,3,9))</f>
        <v>43533</v>
      </c>
      <c r="K204" s="12">
        <f>IF(AG1,DATE(2019,1,1),DATE(2019,3,22))</f>
        <v>43546</v>
      </c>
      <c r="L204" s="11">
        <f>IF(AG1,DATE(2019,1,1),DATE(2019,3,5))</f>
        <v>43529</v>
      </c>
      <c r="M204" s="12">
        <f>IF(AG1,DATE(2019,1,1),DATE(2019,2,27))</f>
        <v>43523</v>
      </c>
      <c r="N204" s="11">
        <f>IF(AG1,DATE(2019,1,1),DATE(2019,3,2))</f>
        <v>43526</v>
      </c>
      <c r="O204" s="12">
        <f>IF(AG1,DATE(2019,1,1),DATE(2019,3,3))</f>
        <v>43527</v>
      </c>
      <c r="P204" s="11">
        <f>IF(AG1,DATE(2019,1,20),DATE(2019,3,10))</f>
        <v>43534</v>
      </c>
      <c r="Q204" s="12">
        <f>IF(AG1,DATE(2019,1,9),DATE(2019,3,3))</f>
        <v>43527</v>
      </c>
      <c r="R204" s="11">
        <f>IF(AG1,DATE(2019,1,1),DATE(2019,2,25))</f>
        <v>43521</v>
      </c>
      <c r="S204" s="12">
        <v>43466</v>
      </c>
      <c r="T204" s="11">
        <f>IF(AG1,DATE(2019,1,1),DATE(2019,3,5))</f>
        <v>43529</v>
      </c>
      <c r="U204" s="12">
        <f>IF(AG1,DATE(2019,1,1),DATE(2019,3,5))</f>
        <v>43529</v>
      </c>
      <c r="V204" s="11">
        <f>IF(AG1,DATE(2019,1,1),DATE(2019,3,10))</f>
        <v>43534</v>
      </c>
      <c r="W204" s="12">
        <f>IF(AG1,DATE(2019,1,1),DATE(2019,3,29))</f>
        <v>43553</v>
      </c>
      <c r="X204" s="11">
        <f>IF(AG1,DATE(2019,1,1),DATE(2019,3,10))</f>
        <v>43534</v>
      </c>
      <c r="Y204" s="12">
        <f>IF(AG1,DATE(2019,1,1),DATE(2019,3,18))</f>
        <v>43542</v>
      </c>
      <c r="Z204" s="11">
        <f>IF(AG1,DATE(2019,1,1),DATE(2019,3,13))</f>
        <v>43537</v>
      </c>
      <c r="AA204" s="12">
        <v>43466</v>
      </c>
      <c r="AB204" s="11">
        <v>43466</v>
      </c>
      <c r="AC204" s="12">
        <v>43466</v>
      </c>
      <c r="AD204" s="34"/>
      <c r="AE204" s="33">
        <f t="shared" si="37"/>
        <v>43466</v>
      </c>
      <c r="AF204" s="33">
        <f t="shared" si="38"/>
        <v>43529</v>
      </c>
      <c r="AG204" s="33">
        <f t="shared" si="39"/>
        <v>43553</v>
      </c>
      <c r="AH204">
        <v>252</v>
      </c>
      <c r="AK204" s="36" t="str">
        <f t="shared" si="33"/>
        <v/>
      </c>
      <c r="AL204">
        <f t="shared" si="40"/>
        <v>5</v>
      </c>
      <c r="AM204">
        <v>21</v>
      </c>
      <c r="AN204">
        <f t="shared" si="34"/>
        <v>87</v>
      </c>
      <c r="AO204" t="str">
        <f t="shared" si="35"/>
        <v>1.1.---5.3.---29.3.</v>
      </c>
      <c r="AP204" t="str">
        <f t="shared" si="36"/>
        <v>Merilokki</v>
      </c>
      <c r="AQ204" t="str">
        <f t="shared" si="41"/>
        <v>(1.1.---5.3.---29.3., 21/21)</v>
      </c>
    </row>
    <row r="205" spans="1:43" x14ac:dyDescent="0.2">
      <c r="A205" s="1"/>
      <c r="B205" s="9">
        <f t="shared" si="32"/>
        <v>200</v>
      </c>
      <c r="C205" s="10"/>
      <c r="D205" s="9" t="s">
        <v>197</v>
      </c>
      <c r="E205" s="10"/>
      <c r="F205" s="11"/>
      <c r="G205" s="12"/>
      <c r="H205" s="11"/>
      <c r="I205" s="12">
        <v>43466</v>
      </c>
      <c r="J205" s="11">
        <v>43466</v>
      </c>
      <c r="K205" s="12">
        <v>43466</v>
      </c>
      <c r="L205" s="11">
        <v>43466</v>
      </c>
      <c r="M205" s="12">
        <v>43466</v>
      </c>
      <c r="N205" s="11">
        <v>43466</v>
      </c>
      <c r="O205" s="12">
        <v>43466</v>
      </c>
      <c r="P205" s="11">
        <v>43466</v>
      </c>
      <c r="Q205" s="12">
        <v>43466</v>
      </c>
      <c r="R205" s="11">
        <v>43466</v>
      </c>
      <c r="S205" s="12">
        <v>43466</v>
      </c>
      <c r="T205" s="11">
        <v>43466</v>
      </c>
      <c r="U205" s="12">
        <v>43466</v>
      </c>
      <c r="V205" s="11">
        <v>43466</v>
      </c>
      <c r="W205" s="12">
        <v>43466</v>
      </c>
      <c r="X205" s="11">
        <v>43466</v>
      </c>
      <c r="Y205" s="12">
        <v>43466</v>
      </c>
      <c r="Z205" s="11">
        <v>43466</v>
      </c>
      <c r="AA205" s="12">
        <v>43466</v>
      </c>
      <c r="AB205" s="11">
        <v>43466</v>
      </c>
      <c r="AC205" s="12">
        <v>43466</v>
      </c>
      <c r="AD205" s="34"/>
      <c r="AE205" s="33">
        <f t="shared" si="37"/>
        <v>43466</v>
      </c>
      <c r="AF205" s="33">
        <f t="shared" si="38"/>
        <v>43466</v>
      </c>
      <c r="AG205" s="33">
        <f t="shared" si="39"/>
        <v>43466</v>
      </c>
      <c r="AH205">
        <v>254</v>
      </c>
      <c r="AK205" s="36" t="str">
        <f t="shared" si="33"/>
        <v/>
      </c>
      <c r="AL205">
        <f t="shared" si="40"/>
        <v>18</v>
      </c>
      <c r="AM205">
        <v>18</v>
      </c>
      <c r="AN205">
        <f t="shared" si="34"/>
        <v>0</v>
      </c>
      <c r="AO205" t="str">
        <f t="shared" si="35"/>
        <v>1.1.---1.1.---1.1.</v>
      </c>
      <c r="AP205" t="str">
        <f t="shared" si="36"/>
        <v>Kesykyyhky</v>
      </c>
      <c r="AQ205" t="str">
        <f t="shared" si="41"/>
        <v>(1.1.---1.1.---1.1., 18/21)</v>
      </c>
    </row>
    <row r="206" spans="1:43" x14ac:dyDescent="0.2">
      <c r="A206" s="1"/>
      <c r="B206" s="9">
        <f t="shared" si="32"/>
        <v>201</v>
      </c>
      <c r="C206" s="10"/>
      <c r="D206" s="9" t="s">
        <v>198</v>
      </c>
      <c r="E206" s="10"/>
      <c r="F206" s="11">
        <v>43553</v>
      </c>
      <c r="G206" s="12">
        <v>43553</v>
      </c>
      <c r="H206" s="11">
        <f>IF(AG1,DATE(2019,1,3),DATE(2019,3,16))</f>
        <v>43540</v>
      </c>
      <c r="I206" s="12">
        <v>43546</v>
      </c>
      <c r="J206" s="11">
        <v>43543</v>
      </c>
      <c r="K206" s="12">
        <f>IF(AG1,DATE(2019,1,5),DATE(2019,3,22))</f>
        <v>43546</v>
      </c>
      <c r="L206" s="11">
        <f>IF(AG1,DATE(2019,1,2),DATE(2019,3,14))</f>
        <v>43538</v>
      </c>
      <c r="M206" s="12">
        <v>43535</v>
      </c>
      <c r="N206" s="11">
        <f>IF(AG1,DATE(2019,1,21),DATE(2019,3,14))</f>
        <v>43538</v>
      </c>
      <c r="O206" s="12">
        <f>IF(AG1,DATE(2019,1,1),DATE(2019,3,1))</f>
        <v>43525</v>
      </c>
      <c r="P206" s="11">
        <f>IF(AG1,DATE(2019,1,1),DATE(2019,3,31))</f>
        <v>43555</v>
      </c>
      <c r="Q206" s="12">
        <f>IF(AG1,DATE(2019,1,2),DATE(2019,3,5))</f>
        <v>43529</v>
      </c>
      <c r="R206" s="11">
        <f>IF(AG1,DATE(2019,1,7),DATE(2019,3,15))</f>
        <v>43539</v>
      </c>
      <c r="S206" s="12">
        <f>IF(AG1,DATE(2019,1,10),DATE(2019,3,19))</f>
        <v>43543</v>
      </c>
      <c r="T206" s="11">
        <v>43529</v>
      </c>
      <c r="U206" s="12">
        <f>IF(AG1,DATE(2019,1,15),DATE(2019,3,1))</f>
        <v>43525</v>
      </c>
      <c r="V206" s="11">
        <f>IF(AG1,DATE(2019,1,1),DATE(2019,3,4))</f>
        <v>43528</v>
      </c>
      <c r="W206" s="12">
        <v>43537</v>
      </c>
      <c r="X206" s="11">
        <f>IF(AG1,DATE(2019,1,6),DATE(2019,3,22))</f>
        <v>43546</v>
      </c>
      <c r="Y206" s="12">
        <f>IF(AG1,DATE(2019,1,4),DATE(2019,3,17))</f>
        <v>43541</v>
      </c>
      <c r="Z206" s="11">
        <f>IF(AG1,DATE(2019,1,2),DATE(2019,2,27))</f>
        <v>43523</v>
      </c>
      <c r="AA206" s="12">
        <f>IF(AG1,DATE(2019,1,1),DATE(2019,2,26))</f>
        <v>43522</v>
      </c>
      <c r="AB206" s="11">
        <f>IF(AF1,DATE(2019,1,1),DATE(2019,3,14))</f>
        <v>43538</v>
      </c>
      <c r="AC206" s="12">
        <v>43466</v>
      </c>
      <c r="AD206" s="34"/>
      <c r="AE206" s="33">
        <f t="shared" si="37"/>
        <v>43523</v>
      </c>
      <c r="AF206" s="33">
        <f t="shared" si="38"/>
        <v>43539</v>
      </c>
      <c r="AG206" s="33">
        <f t="shared" si="39"/>
        <v>43555</v>
      </c>
      <c r="AH206">
        <v>255</v>
      </c>
      <c r="AK206" s="36" t="str">
        <f t="shared" si="33"/>
        <v/>
      </c>
      <c r="AL206">
        <f t="shared" si="40"/>
        <v>1</v>
      </c>
      <c r="AM206">
        <v>14</v>
      </c>
      <c r="AN206">
        <f t="shared" si="34"/>
        <v>32</v>
      </c>
      <c r="AO206" t="str">
        <f t="shared" si="35"/>
        <v>27.2.---15.3.---31.3.</v>
      </c>
      <c r="AP206" t="str">
        <f t="shared" si="36"/>
        <v>Uuttukyyhky</v>
      </c>
      <c r="AQ206" t="str">
        <f t="shared" si="41"/>
        <v>(27.2.---15.3.---31.3., 14/21)</v>
      </c>
    </row>
    <row r="207" spans="1:43" x14ac:dyDescent="0.2">
      <c r="A207" s="1"/>
      <c r="B207" s="9">
        <f t="shared" si="32"/>
        <v>202</v>
      </c>
      <c r="C207" s="10"/>
      <c r="D207" s="9" t="s">
        <v>199</v>
      </c>
      <c r="E207" s="10"/>
      <c r="F207" s="11">
        <v>43545</v>
      </c>
      <c r="G207" s="12">
        <v>43550</v>
      </c>
      <c r="H207" s="11">
        <v>43546</v>
      </c>
      <c r="I207" s="12">
        <v>43547</v>
      </c>
      <c r="J207" s="11">
        <v>43543</v>
      </c>
      <c r="K207" s="12">
        <f>IF(AG1,DATE(2019,1,14),DATE(2019,3,24))</f>
        <v>43548</v>
      </c>
      <c r="L207" s="11">
        <f>IF(AG1,DATE(2019,1,6),DATE(2019,3,25))</f>
        <v>43549</v>
      </c>
      <c r="M207" s="12">
        <v>43537</v>
      </c>
      <c r="N207" s="11">
        <v>43539</v>
      </c>
      <c r="O207" s="12">
        <v>43547</v>
      </c>
      <c r="P207" s="11">
        <v>43547</v>
      </c>
      <c r="Q207" s="12">
        <v>43537</v>
      </c>
      <c r="R207" s="11">
        <f>IF(AG1,DATE(2019,1,2),DATE(2019,3,15))</f>
        <v>43539</v>
      </c>
      <c r="S207" s="12">
        <f>IF(AG1,DATE(2019,1,10),DATE(2019,3,16))</f>
        <v>43540</v>
      </c>
      <c r="T207" s="11">
        <v>43530</v>
      </c>
      <c r="U207" s="12">
        <v>43537</v>
      </c>
      <c r="V207" s="11">
        <v>43547</v>
      </c>
      <c r="W207" s="12">
        <f>IF(AG1,DATE(2019,1,8),DATE(2019,3,17))</f>
        <v>43541</v>
      </c>
      <c r="X207" s="11">
        <v>43547</v>
      </c>
      <c r="Y207" s="12">
        <f>IF(AG1,DATE(2019,1,11),DATE(2019,3,16))</f>
        <v>43540</v>
      </c>
      <c r="Z207" s="11">
        <f>IF(AG1,DATE(2019,1,1),DATE(2019,3,11))</f>
        <v>43535</v>
      </c>
      <c r="AA207" s="12">
        <v>43539</v>
      </c>
      <c r="AB207" s="11">
        <f>IF(AF1,DATE(2019,1,27),DATE(2019,3,12))</f>
        <v>43536</v>
      </c>
      <c r="AC207" s="12">
        <v>43526</v>
      </c>
      <c r="AD207" s="34"/>
      <c r="AE207" s="33">
        <f t="shared" si="37"/>
        <v>43530</v>
      </c>
      <c r="AF207" s="33">
        <f t="shared" si="38"/>
        <v>43543</v>
      </c>
      <c r="AG207" s="33">
        <f t="shared" si="39"/>
        <v>43550</v>
      </c>
      <c r="AH207">
        <v>256</v>
      </c>
      <c r="AK207" s="36" t="str">
        <f t="shared" si="33"/>
        <v/>
      </c>
      <c r="AL207" t="str">
        <f t="shared" si="40"/>
        <v/>
      </c>
      <c r="AM207">
        <v>7</v>
      </c>
      <c r="AN207">
        <f t="shared" si="34"/>
        <v>20</v>
      </c>
      <c r="AO207" t="str">
        <f t="shared" si="35"/>
        <v>6.3.---19.3.---26.3.</v>
      </c>
      <c r="AP207" t="str">
        <f t="shared" si="36"/>
        <v>Sepelkyyhky</v>
      </c>
      <c r="AQ207" t="str">
        <f t="shared" si="41"/>
        <v>(6.3.---19.3.---26.3., 7/21)</v>
      </c>
    </row>
    <row r="208" spans="1:43" x14ac:dyDescent="0.2">
      <c r="A208" s="1"/>
      <c r="B208" s="9">
        <f t="shared" si="32"/>
        <v>203</v>
      </c>
      <c r="C208" s="10"/>
      <c r="D208" s="9" t="s">
        <v>200</v>
      </c>
      <c r="E208" s="10"/>
      <c r="F208" s="11">
        <v>43476</v>
      </c>
      <c r="G208" s="12">
        <v>43470</v>
      </c>
      <c r="H208" s="11">
        <v>43470</v>
      </c>
      <c r="I208" s="12">
        <v>43469</v>
      </c>
      <c r="J208" s="11">
        <v>43466</v>
      </c>
      <c r="K208" s="12">
        <v>43466</v>
      </c>
      <c r="L208" s="11">
        <v>43466</v>
      </c>
      <c r="M208" s="12">
        <v>43466</v>
      </c>
      <c r="N208" s="11">
        <v>43466</v>
      </c>
      <c r="O208" s="12">
        <v>43466</v>
      </c>
      <c r="P208" s="11">
        <v>43466</v>
      </c>
      <c r="Q208" s="12">
        <v>43467</v>
      </c>
      <c r="R208" s="11">
        <v>43466</v>
      </c>
      <c r="S208" s="12">
        <v>43469</v>
      </c>
      <c r="T208" s="11">
        <v>43466</v>
      </c>
      <c r="U208" s="12">
        <v>43466</v>
      </c>
      <c r="V208" s="11">
        <v>43466</v>
      </c>
      <c r="W208" s="12">
        <v>43466</v>
      </c>
      <c r="X208" s="11">
        <v>43466</v>
      </c>
      <c r="Y208" s="12">
        <v>43466</v>
      </c>
      <c r="Z208" s="11">
        <v>43466</v>
      </c>
      <c r="AA208" s="12">
        <v>43466</v>
      </c>
      <c r="AB208" s="11">
        <v>43466</v>
      </c>
      <c r="AC208" s="12">
        <v>43466</v>
      </c>
      <c r="AD208" s="34"/>
      <c r="AE208" s="33">
        <f t="shared" si="37"/>
        <v>43466</v>
      </c>
      <c r="AF208" s="33">
        <f t="shared" si="38"/>
        <v>43466</v>
      </c>
      <c r="AG208" s="33">
        <f t="shared" si="39"/>
        <v>43476</v>
      </c>
      <c r="AH208">
        <v>257</v>
      </c>
      <c r="AK208" s="36" t="str">
        <f t="shared" si="33"/>
        <v/>
      </c>
      <c r="AL208">
        <f t="shared" si="40"/>
        <v>21</v>
      </c>
      <c r="AM208">
        <v>21</v>
      </c>
      <c r="AN208">
        <f t="shared" si="34"/>
        <v>10</v>
      </c>
      <c r="AO208" t="str">
        <f t="shared" si="35"/>
        <v>1.1.---1.1.---11.1.</v>
      </c>
      <c r="AP208" t="str">
        <f t="shared" si="36"/>
        <v>Turkinkyyhky</v>
      </c>
      <c r="AQ208" t="str">
        <f t="shared" si="41"/>
        <v>(1.1.---1.1.---11.1., 21/21)</v>
      </c>
    </row>
    <row r="209" spans="1:43" x14ac:dyDescent="0.2">
      <c r="A209" s="1"/>
      <c r="B209" s="9">
        <f t="shared" si="32"/>
        <v>204</v>
      </c>
      <c r="C209" s="10"/>
      <c r="D209" s="9" t="s">
        <v>201</v>
      </c>
      <c r="E209" s="10"/>
      <c r="F209" s="11">
        <v>43636</v>
      </c>
      <c r="G209" s="12">
        <v>43631</v>
      </c>
      <c r="H209" s="11">
        <v>43589</v>
      </c>
      <c r="I209" s="12">
        <v>43611</v>
      </c>
      <c r="J209" s="11">
        <v>43731</v>
      </c>
      <c r="K209" s="12">
        <v>43612</v>
      </c>
      <c r="L209" s="11">
        <v>43588</v>
      </c>
      <c r="M209" s="12">
        <v>43756</v>
      </c>
      <c r="N209" s="11">
        <v>43721</v>
      </c>
      <c r="O209" s="12">
        <v>43635</v>
      </c>
      <c r="P209" s="11">
        <v>43744</v>
      </c>
      <c r="Q209" s="12">
        <v>43676</v>
      </c>
      <c r="R209" s="11">
        <v>43721</v>
      </c>
      <c r="S209" s="12">
        <v>43576</v>
      </c>
      <c r="T209" s="11">
        <v>43748</v>
      </c>
      <c r="U209" s="12"/>
      <c r="V209" s="11">
        <v>43736</v>
      </c>
      <c r="W209" s="12">
        <v>43632</v>
      </c>
      <c r="X209" s="11">
        <v>43741</v>
      </c>
      <c r="Y209" s="12">
        <v>43722</v>
      </c>
      <c r="Z209" s="11"/>
      <c r="AA209" s="12">
        <v>43706</v>
      </c>
      <c r="AB209" s="11">
        <v>43589</v>
      </c>
      <c r="AC209" s="12">
        <v>43612</v>
      </c>
      <c r="AD209" s="34"/>
      <c r="AE209" s="33">
        <f t="shared" si="37"/>
        <v>43576</v>
      </c>
      <c r="AF209" s="33">
        <f t="shared" si="38"/>
        <v>43676</v>
      </c>
      <c r="AG209" s="33">
        <f t="shared" si="39"/>
        <v>43756</v>
      </c>
      <c r="AH209">
        <v>258</v>
      </c>
      <c r="AK209" s="36" t="str">
        <f t="shared" si="33"/>
        <v/>
      </c>
      <c r="AL209" t="str">
        <f t="shared" si="40"/>
        <v/>
      </c>
      <c r="AM209" t="s">
        <v>393</v>
      </c>
      <c r="AN209">
        <f t="shared" si="34"/>
        <v>180</v>
      </c>
      <c r="AO209" t="str">
        <f t="shared" si="35"/>
        <v>21.4.---30.7.---18.10.</v>
      </c>
      <c r="AP209" t="str">
        <f t="shared" si="36"/>
        <v>Turturikyyhky</v>
      </c>
      <c r="AQ209" t="str">
        <f t="shared" si="41"/>
        <v>(21.4.---30.7.---18.10.)</v>
      </c>
    </row>
    <row r="210" spans="1:43" x14ac:dyDescent="0.2">
      <c r="A210" s="1"/>
      <c r="B210" s="9">
        <f t="shared" si="32"/>
        <v>205</v>
      </c>
      <c r="C210" s="10"/>
      <c r="D210" s="15" t="s">
        <v>202</v>
      </c>
      <c r="E210" s="16"/>
      <c r="F210" s="11"/>
      <c r="G210" s="12"/>
      <c r="H210" s="11"/>
      <c r="I210" s="12"/>
      <c r="J210" s="11"/>
      <c r="K210" s="12"/>
      <c r="L210" s="11"/>
      <c r="M210" s="12"/>
      <c r="N210" s="11"/>
      <c r="O210" s="12"/>
      <c r="P210" s="11"/>
      <c r="Q210" s="12"/>
      <c r="R210" s="11"/>
      <c r="S210" s="12">
        <v>43793</v>
      </c>
      <c r="T210" s="11"/>
      <c r="U210" s="12"/>
      <c r="V210" s="11">
        <v>43707</v>
      </c>
      <c r="W210" s="12"/>
      <c r="X210" s="11">
        <v>43774</v>
      </c>
      <c r="Y210" s="12"/>
      <c r="Z210" s="11">
        <v>43762</v>
      </c>
      <c r="AA210" s="12"/>
      <c r="AB210" s="11">
        <v>43647</v>
      </c>
      <c r="AC210" s="12"/>
      <c r="AD210" s="34"/>
      <c r="AE210" s="33">
        <f t="shared" si="37"/>
        <v>43707</v>
      </c>
      <c r="AF210" s="33">
        <f t="shared" si="38"/>
        <v>43768</v>
      </c>
      <c r="AG210" s="33">
        <f t="shared" si="39"/>
        <v>43793</v>
      </c>
      <c r="AH210">
        <v>259</v>
      </c>
      <c r="AK210" s="36" t="str">
        <f t="shared" si="33"/>
        <v/>
      </c>
      <c r="AL210" t="str">
        <f t="shared" si="40"/>
        <v/>
      </c>
      <c r="AM210" t="s">
        <v>393</v>
      </c>
      <c r="AN210">
        <f t="shared" si="34"/>
        <v>86</v>
      </c>
      <c r="AO210" t="str">
        <f t="shared" si="35"/>
        <v>30.8.---30.10.---24.11.</v>
      </c>
      <c r="AP210" t="str">
        <f t="shared" si="36"/>
        <v>Idänturturikyyhky</v>
      </c>
      <c r="AQ210" t="str">
        <f t="shared" si="41"/>
        <v>(30.8.---30.10.---24.11.)</v>
      </c>
    </row>
    <row r="211" spans="1:43" x14ac:dyDescent="0.2">
      <c r="A211" s="1"/>
      <c r="B211" s="9">
        <f t="shared" si="32"/>
        <v>206</v>
      </c>
      <c r="C211" s="10"/>
      <c r="D211" s="9" t="s">
        <v>203</v>
      </c>
      <c r="E211" s="10"/>
      <c r="F211" s="11">
        <v>43603</v>
      </c>
      <c r="G211" s="12">
        <v>43602</v>
      </c>
      <c r="H211" s="11">
        <v>43596</v>
      </c>
      <c r="I211" s="12">
        <v>43588</v>
      </c>
      <c r="J211" s="11">
        <v>43591</v>
      </c>
      <c r="K211" s="12">
        <v>43597</v>
      </c>
      <c r="L211" s="11">
        <v>43598</v>
      </c>
      <c r="M211" s="12">
        <v>43596</v>
      </c>
      <c r="N211" s="11">
        <v>43587</v>
      </c>
      <c r="O211" s="12">
        <v>43594</v>
      </c>
      <c r="P211" s="11">
        <v>43592</v>
      </c>
      <c r="Q211" s="12">
        <v>43595</v>
      </c>
      <c r="R211" s="11">
        <v>43592</v>
      </c>
      <c r="S211" s="12">
        <v>43592</v>
      </c>
      <c r="T211" s="11">
        <v>43582</v>
      </c>
      <c r="U211" s="12">
        <v>43593</v>
      </c>
      <c r="V211" s="11">
        <v>43593</v>
      </c>
      <c r="W211" s="12">
        <v>43601</v>
      </c>
      <c r="X211" s="11">
        <v>43590</v>
      </c>
      <c r="Y211" s="12">
        <v>43587</v>
      </c>
      <c r="Z211" s="11">
        <v>43586</v>
      </c>
      <c r="AA211" s="12">
        <v>43596</v>
      </c>
      <c r="AB211" s="11">
        <v>43597</v>
      </c>
      <c r="AC211" s="12">
        <v>43594</v>
      </c>
      <c r="AD211" s="34"/>
      <c r="AE211" s="33">
        <f t="shared" si="37"/>
        <v>43582</v>
      </c>
      <c r="AF211" s="33">
        <f t="shared" si="38"/>
        <v>43593</v>
      </c>
      <c r="AG211" s="33">
        <f t="shared" si="39"/>
        <v>43603</v>
      </c>
      <c r="AH211">
        <v>261</v>
      </c>
      <c r="AK211" s="36" t="str">
        <f t="shared" si="33"/>
        <v/>
      </c>
      <c r="AL211" t="str">
        <f t="shared" si="40"/>
        <v/>
      </c>
      <c r="AM211" t="s">
        <v>393</v>
      </c>
      <c r="AN211">
        <f t="shared" si="34"/>
        <v>21</v>
      </c>
      <c r="AO211" t="str">
        <f t="shared" si="35"/>
        <v>27.4.---8.5.---18.5.</v>
      </c>
      <c r="AP211" t="str">
        <f t="shared" si="36"/>
        <v>Käki</v>
      </c>
      <c r="AQ211" t="str">
        <f t="shared" si="41"/>
        <v>(27.4.---8.5.---18.5.)</v>
      </c>
    </row>
    <row r="212" spans="1:43" x14ac:dyDescent="0.2">
      <c r="A212" s="1"/>
      <c r="B212" s="9">
        <f t="shared" si="32"/>
        <v>207</v>
      </c>
      <c r="C212" s="10"/>
      <c r="D212" s="15" t="s">
        <v>204</v>
      </c>
      <c r="E212" s="16"/>
      <c r="F212" s="11"/>
      <c r="G212" s="12"/>
      <c r="H212" s="11"/>
      <c r="I212" s="12"/>
      <c r="J212" s="11"/>
      <c r="K212" s="12"/>
      <c r="L212" s="11">
        <v>43772</v>
      </c>
      <c r="M212" s="12"/>
      <c r="N212" s="11"/>
      <c r="O212" s="12"/>
      <c r="P212" s="11"/>
      <c r="Q212" s="12"/>
      <c r="R212" s="11"/>
      <c r="S212" s="12"/>
      <c r="T212" s="11"/>
      <c r="U212" s="12"/>
      <c r="V212" s="11"/>
      <c r="W212" s="12"/>
      <c r="X212" s="11"/>
      <c r="Y212" s="12"/>
      <c r="Z212" s="11"/>
      <c r="AA212" s="12"/>
      <c r="AB212" s="11"/>
      <c r="AC212" s="12"/>
      <c r="AD212" s="34"/>
      <c r="AE212" s="33">
        <f t="shared" si="37"/>
        <v>43772</v>
      </c>
      <c r="AF212" s="33">
        <f t="shared" si="38"/>
        <v>43772</v>
      </c>
      <c r="AG212" s="33">
        <f t="shared" si="39"/>
        <v>43772</v>
      </c>
      <c r="AH212">
        <v>263</v>
      </c>
      <c r="AK212" s="36" t="str">
        <f t="shared" si="33"/>
        <v/>
      </c>
      <c r="AL212" t="str">
        <f t="shared" si="40"/>
        <v/>
      </c>
      <c r="AM212" t="s">
        <v>393</v>
      </c>
      <c r="AN212">
        <f t="shared" si="34"/>
        <v>0</v>
      </c>
      <c r="AO212" t="str">
        <f t="shared" si="35"/>
        <v>3.11.---3.11.---3.11.</v>
      </c>
      <c r="AP212" t="str">
        <f t="shared" si="36"/>
        <v>Tornipöllö</v>
      </c>
      <c r="AQ212" t="str">
        <f t="shared" si="41"/>
        <v>(3.11.---3.11.---3.11.)</v>
      </c>
    </row>
    <row r="213" spans="1:43" x14ac:dyDescent="0.2">
      <c r="A213" s="1"/>
      <c r="B213" s="9">
        <f t="shared" si="32"/>
        <v>208</v>
      </c>
      <c r="C213" s="10"/>
      <c r="D213" s="9" t="s">
        <v>205</v>
      </c>
      <c r="E213" s="10"/>
      <c r="F213" s="11">
        <v>43466</v>
      </c>
      <c r="G213" s="12"/>
      <c r="H213" s="11">
        <v>43470</v>
      </c>
      <c r="I213" s="12">
        <v>43466</v>
      </c>
      <c r="J213" s="11">
        <v>43467</v>
      </c>
      <c r="K213" s="12">
        <v>43468</v>
      </c>
      <c r="L213" s="11">
        <v>43466</v>
      </c>
      <c r="M213" s="12">
        <v>43466</v>
      </c>
      <c r="N213" s="11">
        <v>43466</v>
      </c>
      <c r="O213" s="12">
        <v>43470</v>
      </c>
      <c r="P213" s="11">
        <v>43470</v>
      </c>
      <c r="Q213" s="12">
        <v>43467</v>
      </c>
      <c r="R213" s="11">
        <v>43471</v>
      </c>
      <c r="S213" s="12">
        <v>43468</v>
      </c>
      <c r="T213" s="11">
        <v>43466</v>
      </c>
      <c r="U213" s="12">
        <v>43466</v>
      </c>
      <c r="V213" s="11">
        <v>43466</v>
      </c>
      <c r="W213" s="12">
        <v>43466</v>
      </c>
      <c r="X213" s="11">
        <v>43466</v>
      </c>
      <c r="Y213" s="12">
        <v>43467</v>
      </c>
      <c r="Z213" s="11">
        <v>43466</v>
      </c>
      <c r="AA213" s="12">
        <v>43466</v>
      </c>
      <c r="AB213" s="11">
        <v>43466</v>
      </c>
      <c r="AC213" s="12">
        <v>43466</v>
      </c>
      <c r="AD213" s="34"/>
      <c r="AE213" s="33">
        <f t="shared" si="37"/>
        <v>43466</v>
      </c>
      <c r="AF213" s="33">
        <f t="shared" si="38"/>
        <v>43466</v>
      </c>
      <c r="AG213" s="33">
        <f t="shared" si="39"/>
        <v>43471</v>
      </c>
      <c r="AH213">
        <v>265</v>
      </c>
      <c r="AK213" s="36" t="str">
        <f t="shared" si="33"/>
        <v/>
      </c>
      <c r="AL213">
        <f t="shared" si="40"/>
        <v>20</v>
      </c>
      <c r="AM213">
        <v>20</v>
      </c>
      <c r="AN213">
        <f t="shared" si="34"/>
        <v>5</v>
      </c>
      <c r="AO213" t="str">
        <f t="shared" si="35"/>
        <v>1.1.---1.1.---6.1.</v>
      </c>
      <c r="AP213" t="str">
        <f t="shared" si="36"/>
        <v>Huuhkaja</v>
      </c>
      <c r="AQ213" t="str">
        <f t="shared" si="41"/>
        <v>(1.1.---1.1.---6.1., 20/21)</v>
      </c>
    </row>
    <row r="214" spans="1:43" x14ac:dyDescent="0.2">
      <c r="A214" s="1"/>
      <c r="B214" s="9">
        <f t="shared" si="32"/>
        <v>209</v>
      </c>
      <c r="C214" s="10"/>
      <c r="D214" s="9" t="s">
        <v>206</v>
      </c>
      <c r="E214" s="10"/>
      <c r="F214" s="11">
        <v>43475</v>
      </c>
      <c r="G214" s="12">
        <v>43466</v>
      </c>
      <c r="H214" s="11">
        <v>43480</v>
      </c>
      <c r="I214" s="12"/>
      <c r="J214" s="11"/>
      <c r="K214" s="12"/>
      <c r="L214" s="11"/>
      <c r="M214" s="12"/>
      <c r="N214" s="11"/>
      <c r="O214" s="12"/>
      <c r="P214" s="11">
        <v>43782</v>
      </c>
      <c r="Q214" s="12">
        <v>43490</v>
      </c>
      <c r="R214" s="11"/>
      <c r="S214" s="12">
        <v>43596</v>
      </c>
      <c r="T214" s="11">
        <v>43784</v>
      </c>
      <c r="U214" s="12">
        <v>43543</v>
      </c>
      <c r="V214" s="11"/>
      <c r="W214" s="12"/>
      <c r="X214" s="11"/>
      <c r="Y214" s="12"/>
      <c r="Z214" s="11">
        <v>43713</v>
      </c>
      <c r="AA214" s="12"/>
      <c r="AB214" s="11"/>
      <c r="AC214" s="12"/>
      <c r="AD214" s="34"/>
      <c r="AE214" s="33">
        <f t="shared" si="37"/>
        <v>43466</v>
      </c>
      <c r="AF214" s="33">
        <f t="shared" si="38"/>
        <v>43543</v>
      </c>
      <c r="AG214" s="33">
        <f t="shared" si="39"/>
        <v>43784</v>
      </c>
      <c r="AH214">
        <v>266</v>
      </c>
      <c r="AK214" s="36" t="str">
        <f t="shared" si="33"/>
        <v/>
      </c>
      <c r="AL214">
        <f t="shared" si="40"/>
        <v>4</v>
      </c>
      <c r="AM214">
        <v>4</v>
      </c>
      <c r="AN214">
        <f t="shared" si="34"/>
        <v>318</v>
      </c>
      <c r="AO214" t="str">
        <f t="shared" si="35"/>
        <v>1.1.---19.3.---15.11.</v>
      </c>
      <c r="AP214" t="str">
        <f t="shared" si="36"/>
        <v>Tunturipöllö</v>
      </c>
      <c r="AQ214" t="str">
        <f t="shared" si="41"/>
        <v>(1.1.---19.3.---15.11., 4/21)</v>
      </c>
    </row>
    <row r="215" spans="1:43" x14ac:dyDescent="0.2">
      <c r="A215" s="1"/>
      <c r="B215" s="9">
        <f t="shared" si="32"/>
        <v>210</v>
      </c>
      <c r="C215" s="10"/>
      <c r="D215" s="9" t="s">
        <v>207</v>
      </c>
      <c r="E215" s="10"/>
      <c r="F215" s="11">
        <v>43466</v>
      </c>
      <c r="G215" s="12">
        <v>43495</v>
      </c>
      <c r="H215" s="11">
        <v>43466</v>
      </c>
      <c r="I215" s="12">
        <v>43466</v>
      </c>
      <c r="J215" s="11">
        <v>43475</v>
      </c>
      <c r="K215" s="12">
        <v>43466</v>
      </c>
      <c r="L215" s="11">
        <v>43466</v>
      </c>
      <c r="M215" s="12">
        <v>43468</v>
      </c>
      <c r="N215" s="11">
        <v>43541</v>
      </c>
      <c r="O215" s="12">
        <v>43477</v>
      </c>
      <c r="P215" s="11">
        <v>43480</v>
      </c>
      <c r="Q215" s="12">
        <v>43466</v>
      </c>
      <c r="R215" s="11">
        <v>43471</v>
      </c>
      <c r="S215" s="12">
        <v>43468</v>
      </c>
      <c r="T215" s="11">
        <v>43466</v>
      </c>
      <c r="U215" s="12">
        <v>43469</v>
      </c>
      <c r="V215" s="11">
        <v>43466</v>
      </c>
      <c r="W215" s="12">
        <v>43469</v>
      </c>
      <c r="X215" s="11">
        <v>43466</v>
      </c>
      <c r="Y215" s="12">
        <v>43466</v>
      </c>
      <c r="Z215" s="11">
        <v>43477</v>
      </c>
      <c r="AA215" s="12">
        <v>43496</v>
      </c>
      <c r="AB215" s="11">
        <v>43466</v>
      </c>
      <c r="AC215" s="12">
        <v>43467</v>
      </c>
      <c r="AD215" s="34"/>
      <c r="AE215" s="33">
        <f t="shared" si="37"/>
        <v>43466</v>
      </c>
      <c r="AF215" s="33">
        <f t="shared" si="38"/>
        <v>43468</v>
      </c>
      <c r="AG215" s="33">
        <f t="shared" si="39"/>
        <v>43541</v>
      </c>
      <c r="AH215">
        <v>267</v>
      </c>
      <c r="AK215" s="36" t="str">
        <f t="shared" si="33"/>
        <v/>
      </c>
      <c r="AL215">
        <f t="shared" si="40"/>
        <v>20</v>
      </c>
      <c r="AM215">
        <v>20</v>
      </c>
      <c r="AN215">
        <f t="shared" si="34"/>
        <v>75</v>
      </c>
      <c r="AO215" t="str">
        <f t="shared" si="35"/>
        <v>1.1.---3.1.---17.3.</v>
      </c>
      <c r="AP215" t="str">
        <f t="shared" si="36"/>
        <v>Hiiripöllö</v>
      </c>
      <c r="AQ215" t="str">
        <f t="shared" si="41"/>
        <v>(1.1.---3.1.---17.3., 20/21)</v>
      </c>
    </row>
    <row r="216" spans="1:43" x14ac:dyDescent="0.2">
      <c r="A216" s="1"/>
      <c r="B216" s="9">
        <f t="shared" si="32"/>
        <v>211</v>
      </c>
      <c r="C216" s="10"/>
      <c r="D216" s="9" t="s">
        <v>208</v>
      </c>
      <c r="E216" s="10"/>
      <c r="F216" s="11"/>
      <c r="G216" s="12"/>
      <c r="H216" s="11">
        <v>43466</v>
      </c>
      <c r="I216" s="12">
        <v>43467</v>
      </c>
      <c r="J216" s="11">
        <v>43466</v>
      </c>
      <c r="K216" s="12">
        <v>43466</v>
      </c>
      <c r="L216" s="11">
        <v>43466</v>
      </c>
      <c r="M216" s="12">
        <v>43466</v>
      </c>
      <c r="N216" s="11">
        <v>43466</v>
      </c>
      <c r="O216" s="12">
        <v>43466</v>
      </c>
      <c r="P216" s="11">
        <v>43466</v>
      </c>
      <c r="Q216" s="12">
        <v>43466</v>
      </c>
      <c r="R216" s="11">
        <v>43466</v>
      </c>
      <c r="S216" s="12">
        <v>43467</v>
      </c>
      <c r="T216" s="11">
        <v>43469</v>
      </c>
      <c r="U216" s="12">
        <v>43466</v>
      </c>
      <c r="V216" s="11">
        <v>43466</v>
      </c>
      <c r="W216" s="12">
        <v>43466</v>
      </c>
      <c r="X216" s="11">
        <v>43466</v>
      </c>
      <c r="Y216" s="12">
        <v>43468</v>
      </c>
      <c r="Z216" s="11">
        <v>43467</v>
      </c>
      <c r="AA216" s="12">
        <v>43466</v>
      </c>
      <c r="AB216" s="11">
        <v>43466</v>
      </c>
      <c r="AC216" s="12">
        <v>43466</v>
      </c>
      <c r="AD216" s="34"/>
      <c r="AE216" s="33">
        <f t="shared" si="37"/>
        <v>43466</v>
      </c>
      <c r="AF216" s="33">
        <f t="shared" si="38"/>
        <v>43466</v>
      </c>
      <c r="AG216" s="33">
        <f t="shared" si="39"/>
        <v>43469</v>
      </c>
      <c r="AH216">
        <v>268</v>
      </c>
      <c r="AK216" s="36" t="str">
        <f t="shared" si="33"/>
        <v/>
      </c>
      <c r="AL216">
        <f t="shared" si="40"/>
        <v>19</v>
      </c>
      <c r="AM216">
        <v>19</v>
      </c>
      <c r="AN216">
        <f t="shared" si="34"/>
        <v>3</v>
      </c>
      <c r="AO216" t="str">
        <f t="shared" si="35"/>
        <v>1.1.---1.1.---4.1.</v>
      </c>
      <c r="AP216" t="str">
        <f t="shared" si="36"/>
        <v>Varpuspöllö</v>
      </c>
      <c r="AQ216" t="str">
        <f t="shared" si="41"/>
        <v>(1.1.---1.1.---4.1., 19/21)</v>
      </c>
    </row>
    <row r="217" spans="1:43" x14ac:dyDescent="0.2">
      <c r="A217" s="1"/>
      <c r="B217" s="9">
        <f t="shared" si="32"/>
        <v>212</v>
      </c>
      <c r="C217" s="10"/>
      <c r="D217" s="15" t="s">
        <v>209</v>
      </c>
      <c r="E217" s="16"/>
      <c r="F217" s="11"/>
      <c r="G217" s="12"/>
      <c r="H217" s="11"/>
      <c r="I217" s="12"/>
      <c r="J217" s="11"/>
      <c r="K217" s="12"/>
      <c r="L217" s="11"/>
      <c r="M217" s="12"/>
      <c r="N217" s="11"/>
      <c r="O217" s="12"/>
      <c r="P217" s="11"/>
      <c r="Q217" s="12"/>
      <c r="R217" s="11"/>
      <c r="S217" s="12"/>
      <c r="T217" s="11"/>
      <c r="U217" s="12"/>
      <c r="V217" s="11"/>
      <c r="W217" s="12"/>
      <c r="X217" s="11"/>
      <c r="Y217" s="12"/>
      <c r="Z217" s="11"/>
      <c r="AA217" s="12"/>
      <c r="AB217" s="11"/>
      <c r="AC217" s="12"/>
      <c r="AD217" s="34"/>
      <c r="AE217" s="33" t="str">
        <f t="shared" si="37"/>
        <v/>
      </c>
      <c r="AF217" s="33" t="str">
        <f t="shared" si="38"/>
        <v/>
      </c>
      <c r="AG217" s="33" t="str">
        <f t="shared" si="39"/>
        <v/>
      </c>
      <c r="AH217">
        <v>269</v>
      </c>
      <c r="AK217" s="36" t="str">
        <f t="shared" si="33"/>
        <v/>
      </c>
      <c r="AL217" t="str">
        <f t="shared" si="40"/>
        <v/>
      </c>
      <c r="AM217" t="s">
        <v>393</v>
      </c>
      <c r="AN217" t="e">
        <f t="shared" si="34"/>
        <v>#VALUE!</v>
      </c>
      <c r="AO217" t="str">
        <f t="shared" si="35"/>
        <v>------</v>
      </c>
      <c r="AP217" t="str">
        <f t="shared" si="36"/>
        <v>Minervanpöllö</v>
      </c>
      <c r="AQ217" t="str">
        <f t="shared" si="41"/>
        <v>(------)</v>
      </c>
    </row>
    <row r="218" spans="1:43" x14ac:dyDescent="0.2">
      <c r="A218" s="1"/>
      <c r="B218" s="9">
        <f t="shared" si="32"/>
        <v>213</v>
      </c>
      <c r="C218" s="10"/>
      <c r="D218" s="13" t="s">
        <v>210</v>
      </c>
      <c r="E218" s="14"/>
      <c r="F218" s="11"/>
      <c r="G218" s="12"/>
      <c r="H218" s="11"/>
      <c r="I218" s="12">
        <v>43620</v>
      </c>
      <c r="J218" s="11"/>
      <c r="K218" s="12">
        <v>43647</v>
      </c>
      <c r="L218" s="11"/>
      <c r="M218" s="12"/>
      <c r="N218" s="11"/>
      <c r="O218" s="12"/>
      <c r="P218" s="11">
        <v>43656</v>
      </c>
      <c r="Q218" s="12">
        <v>43562</v>
      </c>
      <c r="R218" s="11"/>
      <c r="S218" s="12"/>
      <c r="T218" s="11"/>
      <c r="U218" s="12">
        <v>43694</v>
      </c>
      <c r="V218" s="11"/>
      <c r="W218" s="12"/>
      <c r="X218" s="11"/>
      <c r="Y218" s="12"/>
      <c r="Z218" s="11"/>
      <c r="AA218" s="12"/>
      <c r="AB218" s="11">
        <v>43541</v>
      </c>
      <c r="AC218" s="12">
        <v>43478</v>
      </c>
      <c r="AD218" s="34"/>
      <c r="AE218" s="33">
        <f t="shared" si="37"/>
        <v>43562</v>
      </c>
      <c r="AF218" s="33">
        <f t="shared" si="38"/>
        <v>43647</v>
      </c>
      <c r="AG218" s="33">
        <f t="shared" si="39"/>
        <v>43694</v>
      </c>
      <c r="AH218">
        <v>270</v>
      </c>
      <c r="AK218" s="36" t="str">
        <f t="shared" si="33"/>
        <v/>
      </c>
      <c r="AL218" t="str">
        <f t="shared" si="40"/>
        <v/>
      </c>
      <c r="AM218" t="s">
        <v>393</v>
      </c>
      <c r="AN218">
        <f t="shared" si="34"/>
        <v>132</v>
      </c>
      <c r="AO218" t="str">
        <f t="shared" si="35"/>
        <v>7.4.---1.7.---17.8.</v>
      </c>
      <c r="AP218" t="str">
        <f t="shared" si="36"/>
        <v>Lehtopöllö</v>
      </c>
      <c r="AQ218" t="str">
        <f t="shared" si="41"/>
        <v>(7.4.---1.7.---17.8.)</v>
      </c>
    </row>
    <row r="219" spans="1:43" x14ac:dyDescent="0.2">
      <c r="A219" s="1"/>
      <c r="B219" s="9">
        <f t="shared" si="32"/>
        <v>214</v>
      </c>
      <c r="C219" s="10"/>
      <c r="D219" s="9" t="s">
        <v>211</v>
      </c>
      <c r="E219" s="10"/>
      <c r="F219" s="11">
        <v>43477</v>
      </c>
      <c r="G219" s="12">
        <v>43478</v>
      </c>
      <c r="H219" s="11">
        <v>43502</v>
      </c>
      <c r="I219" s="12">
        <v>43481</v>
      </c>
      <c r="J219" s="11">
        <v>43471</v>
      </c>
      <c r="K219" s="12">
        <v>43479</v>
      </c>
      <c r="L219" s="11">
        <v>43468</v>
      </c>
      <c r="M219" s="12">
        <v>43466</v>
      </c>
      <c r="N219" s="11">
        <v>43477</v>
      </c>
      <c r="O219" s="12">
        <v>43467</v>
      </c>
      <c r="P219" s="11">
        <v>43473</v>
      </c>
      <c r="Q219" s="12">
        <v>43473</v>
      </c>
      <c r="R219" s="11">
        <v>43484</v>
      </c>
      <c r="S219" s="12">
        <v>43474</v>
      </c>
      <c r="T219" s="11">
        <v>43466</v>
      </c>
      <c r="U219" s="12">
        <v>43466</v>
      </c>
      <c r="V219" s="11">
        <v>43469</v>
      </c>
      <c r="W219" s="12">
        <v>43471</v>
      </c>
      <c r="X219" s="11">
        <v>43467</v>
      </c>
      <c r="Y219" s="12">
        <v>43481</v>
      </c>
      <c r="Z219" s="11">
        <v>43476</v>
      </c>
      <c r="AA219" s="12">
        <v>43469</v>
      </c>
      <c r="AB219" s="11">
        <v>43478</v>
      </c>
      <c r="AC219" s="12">
        <v>43479</v>
      </c>
      <c r="AD219" s="34"/>
      <c r="AE219" s="33">
        <f t="shared" si="37"/>
        <v>43466</v>
      </c>
      <c r="AF219" s="33">
        <f t="shared" si="38"/>
        <v>43473</v>
      </c>
      <c r="AG219" s="33">
        <f t="shared" si="39"/>
        <v>43502</v>
      </c>
      <c r="AH219">
        <v>271</v>
      </c>
      <c r="AK219" s="36" t="str">
        <f t="shared" si="33"/>
        <v/>
      </c>
      <c r="AL219">
        <f t="shared" si="40"/>
        <v>21</v>
      </c>
      <c r="AM219">
        <v>21</v>
      </c>
      <c r="AN219">
        <f t="shared" si="34"/>
        <v>36</v>
      </c>
      <c r="AO219" t="str">
        <f t="shared" si="35"/>
        <v>1.1.---8.1.---6.2.</v>
      </c>
      <c r="AP219" t="str">
        <f t="shared" si="36"/>
        <v>Viirupöllö</v>
      </c>
      <c r="AQ219" t="str">
        <f t="shared" si="41"/>
        <v>(1.1.---8.1.---6.2., 21/21)</v>
      </c>
    </row>
    <row r="220" spans="1:43" x14ac:dyDescent="0.2">
      <c r="A220" s="1"/>
      <c r="B220" s="9">
        <f t="shared" si="32"/>
        <v>215</v>
      </c>
      <c r="C220" s="10"/>
      <c r="D220" s="9" t="s">
        <v>212</v>
      </c>
      <c r="E220" s="10"/>
      <c r="F220" s="11">
        <v>43498</v>
      </c>
      <c r="G220" s="12">
        <v>43495</v>
      </c>
      <c r="H220" s="11">
        <v>43512</v>
      </c>
      <c r="I220" s="12">
        <v>43481</v>
      </c>
      <c r="J220" s="11">
        <v>43466</v>
      </c>
      <c r="K220" s="12">
        <v>43469</v>
      </c>
      <c r="L220" s="11">
        <v>43469</v>
      </c>
      <c r="M220" s="12">
        <v>43484</v>
      </c>
      <c r="N220" s="11">
        <v>43473</v>
      </c>
      <c r="O220" s="12">
        <v>43476</v>
      </c>
      <c r="P220" s="11">
        <v>43478</v>
      </c>
      <c r="Q220" s="12">
        <v>43488</v>
      </c>
      <c r="R220" s="11">
        <v>43474</v>
      </c>
      <c r="S220" s="12">
        <v>43467</v>
      </c>
      <c r="T220" s="11">
        <v>43471</v>
      </c>
      <c r="U220" s="12">
        <v>43471</v>
      </c>
      <c r="V220" s="11">
        <v>43467</v>
      </c>
      <c r="W220" s="12">
        <v>43496</v>
      </c>
      <c r="X220" s="11">
        <v>43466</v>
      </c>
      <c r="Y220" s="12">
        <v>43470</v>
      </c>
      <c r="Z220" s="11">
        <v>43469</v>
      </c>
      <c r="AA220" s="12">
        <v>43492</v>
      </c>
      <c r="AB220" s="11">
        <v>43472</v>
      </c>
      <c r="AC220" s="12">
        <v>43480</v>
      </c>
      <c r="AD220" s="34"/>
      <c r="AE220" s="33">
        <f t="shared" si="37"/>
        <v>43466</v>
      </c>
      <c r="AF220" s="33">
        <f t="shared" si="38"/>
        <v>43473</v>
      </c>
      <c r="AG220" s="33">
        <f t="shared" si="39"/>
        <v>43512</v>
      </c>
      <c r="AH220">
        <v>272</v>
      </c>
      <c r="AK220" s="36" t="str">
        <f t="shared" si="33"/>
        <v/>
      </c>
      <c r="AL220">
        <f t="shared" si="40"/>
        <v>21</v>
      </c>
      <c r="AM220">
        <v>21</v>
      </c>
      <c r="AN220">
        <f t="shared" si="34"/>
        <v>46</v>
      </c>
      <c r="AO220" t="str">
        <f t="shared" si="35"/>
        <v>1.1.---8.1.---16.2.</v>
      </c>
      <c r="AP220" t="str">
        <f t="shared" si="36"/>
        <v>Lapinpöllö</v>
      </c>
      <c r="AQ220" t="str">
        <f t="shared" si="41"/>
        <v>(1.1.---8.1.---16.2., 21/21)</v>
      </c>
    </row>
    <row r="221" spans="1:43" x14ac:dyDescent="0.2">
      <c r="A221" s="1"/>
      <c r="B221" s="9">
        <f t="shared" si="32"/>
        <v>216</v>
      </c>
      <c r="C221" s="10"/>
      <c r="D221" s="9" t="s">
        <v>213</v>
      </c>
      <c r="E221" s="10"/>
      <c r="F221" s="11">
        <v>43539</v>
      </c>
      <c r="G221" s="12">
        <v>43552</v>
      </c>
      <c r="H221" s="11">
        <v>43536</v>
      </c>
      <c r="I221" s="12">
        <v>43481</v>
      </c>
      <c r="J221" s="11">
        <v>43565</v>
      </c>
      <c r="K221" s="12">
        <v>43546</v>
      </c>
      <c r="L221" s="11">
        <f>IF(AG1,DATE(2019,1,13),DATE(2019,3,8))</f>
        <v>43532</v>
      </c>
      <c r="M221" s="12">
        <v>43535</v>
      </c>
      <c r="N221" s="11">
        <v>43542</v>
      </c>
      <c r="O221" s="12">
        <v>43532</v>
      </c>
      <c r="P221" s="11">
        <v>43536</v>
      </c>
      <c r="Q221" s="12">
        <v>43493</v>
      </c>
      <c r="R221" s="11">
        <v>43517</v>
      </c>
      <c r="S221" s="12">
        <v>43554</v>
      </c>
      <c r="T221" s="11">
        <v>43509</v>
      </c>
      <c r="U221" s="12">
        <v>43496</v>
      </c>
      <c r="V221" s="11">
        <f>IF(AG1,DATE(2019,1,19),DATE(2019,2,25))</f>
        <v>43521</v>
      </c>
      <c r="W221" s="12">
        <f>IF(AG1,DATE(2019,1,26),DATE(2019,3,4))</f>
        <v>43528</v>
      </c>
      <c r="X221" s="11">
        <f>IF(AG1,DATE(2019,1,27),DATE(2019,3,2))</f>
        <v>43526</v>
      </c>
      <c r="Y221" s="12">
        <v>43512</v>
      </c>
      <c r="Z221" s="11">
        <v>43524</v>
      </c>
      <c r="AA221" s="12">
        <v>43527</v>
      </c>
      <c r="AB221" s="11">
        <f>IF(AF1,DATE(2019,1,24),DATE(2019,3,12))</f>
        <v>43536</v>
      </c>
      <c r="AC221" s="12">
        <v>43520</v>
      </c>
      <c r="AD221" s="34"/>
      <c r="AE221" s="33">
        <f t="shared" si="37"/>
        <v>43481</v>
      </c>
      <c r="AF221" s="33">
        <f t="shared" si="38"/>
        <v>43532</v>
      </c>
      <c r="AG221" s="33">
        <f t="shared" si="39"/>
        <v>43565</v>
      </c>
      <c r="AH221">
        <v>273</v>
      </c>
      <c r="AK221" s="36" t="str">
        <f t="shared" si="33"/>
        <v/>
      </c>
      <c r="AL221">
        <f t="shared" si="40"/>
        <v>8</v>
      </c>
      <c r="AM221">
        <v>11</v>
      </c>
      <c r="AN221">
        <f t="shared" si="34"/>
        <v>84</v>
      </c>
      <c r="AO221" t="str">
        <f t="shared" si="35"/>
        <v>16.1.---8.3.---10.4.</v>
      </c>
      <c r="AP221" t="str">
        <f t="shared" si="36"/>
        <v>Sarvipöllö</v>
      </c>
      <c r="AQ221" t="str">
        <f t="shared" si="41"/>
        <v>(16.1.---8.3.---10.4., 11/21)</v>
      </c>
    </row>
    <row r="222" spans="1:43" x14ac:dyDescent="0.2">
      <c r="A222" s="1"/>
      <c r="B222" s="9">
        <f t="shared" si="32"/>
        <v>217</v>
      </c>
      <c r="C222" s="10"/>
      <c r="D222" s="9" t="s">
        <v>214</v>
      </c>
      <c r="E222" s="10"/>
      <c r="F222" s="11">
        <v>43571</v>
      </c>
      <c r="G222" s="12">
        <v>43569</v>
      </c>
      <c r="H222" s="11">
        <v>43560</v>
      </c>
      <c r="I222" s="12">
        <v>43568</v>
      </c>
      <c r="J222" s="11">
        <v>43562</v>
      </c>
      <c r="K222" s="12">
        <v>43564</v>
      </c>
      <c r="L222" s="11">
        <v>43535</v>
      </c>
      <c r="M222" s="12">
        <f>IF(AG1,DATE(2019,1,11),DATE(2019,4,1))</f>
        <v>43556</v>
      </c>
      <c r="N222" s="11">
        <v>43561</v>
      </c>
      <c r="O222" s="12">
        <f>IF(AG1,DATE(2019,1,2),DATE(2019,3,22))</f>
        <v>43546</v>
      </c>
      <c r="P222" s="11">
        <f>IF(AG1,DATE(2019,1,2),DATE(2019,3,13))</f>
        <v>43537</v>
      </c>
      <c r="Q222" s="12">
        <v>43567</v>
      </c>
      <c r="R222" s="11">
        <v>43562</v>
      </c>
      <c r="S222" s="12">
        <v>43569</v>
      </c>
      <c r="T222" s="11">
        <f>IF(AG1,DATE(2019,1,1),DATE(2019,4,2))</f>
        <v>43557</v>
      </c>
      <c r="U222" s="12">
        <f>IF(AG1,DATE(2019,1,1),DATE(2019,4,3))</f>
        <v>43558</v>
      </c>
      <c r="V222" s="11">
        <f>IF(AG1,DATE(2019,1,28),DATE(2019,4,11))</f>
        <v>43566</v>
      </c>
      <c r="W222" s="12">
        <f>IF(AG1,DATE(2019,1,9),DATE(2019,4,28))</f>
        <v>43583</v>
      </c>
      <c r="X222" s="11">
        <f>IF(AG1,DATE(2019,1,18),DATE(2019,4,13))</f>
        <v>43568</v>
      </c>
      <c r="Y222" s="12">
        <f>IF(AG1,DATE(2019,1,5),DATE(2019,4,17))</f>
        <v>43572</v>
      </c>
      <c r="Z222" s="11">
        <v>43563</v>
      </c>
      <c r="AA222" s="12">
        <v>43563</v>
      </c>
      <c r="AB222" s="11">
        <v>43548</v>
      </c>
      <c r="AC222" s="12">
        <v>43527</v>
      </c>
      <c r="AD222" s="34"/>
      <c r="AE222" s="33">
        <f t="shared" si="37"/>
        <v>43535</v>
      </c>
      <c r="AF222" s="33">
        <f t="shared" si="38"/>
        <v>43563</v>
      </c>
      <c r="AG222" s="33">
        <f t="shared" si="39"/>
        <v>43583</v>
      </c>
      <c r="AH222">
        <v>274</v>
      </c>
      <c r="AK222" s="36" t="str">
        <f t="shared" si="33"/>
        <v/>
      </c>
      <c r="AL222" t="str">
        <f t="shared" si="40"/>
        <v/>
      </c>
      <c r="AM222">
        <v>9</v>
      </c>
      <c r="AN222">
        <f t="shared" si="34"/>
        <v>48</v>
      </c>
      <c r="AO222" t="str">
        <f t="shared" si="35"/>
        <v>11.3.---8.4.---28.4.</v>
      </c>
      <c r="AP222" t="str">
        <f t="shared" si="36"/>
        <v>Suopöllö</v>
      </c>
      <c r="AQ222" t="str">
        <f t="shared" si="41"/>
        <v>(11.3.---8.4.---28.4., 9/21)</v>
      </c>
    </row>
    <row r="223" spans="1:43" x14ac:dyDescent="0.2">
      <c r="A223" s="1"/>
      <c r="B223" s="9">
        <f t="shared" si="32"/>
        <v>218</v>
      </c>
      <c r="C223" s="10"/>
      <c r="D223" s="9" t="s">
        <v>215</v>
      </c>
      <c r="E223" s="10"/>
      <c r="F223" s="11"/>
      <c r="G223" s="12">
        <v>43477</v>
      </c>
      <c r="H223" s="11">
        <v>43473</v>
      </c>
      <c r="I223" s="12">
        <v>43476</v>
      </c>
      <c r="J223" s="11">
        <v>43474</v>
      </c>
      <c r="K223" s="12">
        <v>43466</v>
      </c>
      <c r="L223" s="11">
        <v>43466</v>
      </c>
      <c r="M223" s="12">
        <v>43466</v>
      </c>
      <c r="N223" s="11">
        <v>43469</v>
      </c>
      <c r="O223" s="12">
        <v>43471</v>
      </c>
      <c r="P223" s="11">
        <v>43477</v>
      </c>
      <c r="Q223" s="12">
        <v>43467</v>
      </c>
      <c r="R223" s="11">
        <v>43470</v>
      </c>
      <c r="S223" s="12">
        <v>43470</v>
      </c>
      <c r="T223" s="11">
        <v>43466</v>
      </c>
      <c r="U223" s="12">
        <v>43466</v>
      </c>
      <c r="V223" s="11">
        <v>43478</v>
      </c>
      <c r="W223" s="12">
        <v>43474</v>
      </c>
      <c r="X223" s="11">
        <v>43466</v>
      </c>
      <c r="Y223" s="12">
        <v>43467</v>
      </c>
      <c r="Z223" s="11">
        <v>43466</v>
      </c>
      <c r="AA223" s="12">
        <v>43466</v>
      </c>
      <c r="AB223" s="11">
        <v>43466</v>
      </c>
      <c r="AC223" s="12">
        <v>43466</v>
      </c>
      <c r="AD223" s="34"/>
      <c r="AE223" s="33">
        <f t="shared" si="37"/>
        <v>43466</v>
      </c>
      <c r="AF223" s="33">
        <f t="shared" si="38"/>
        <v>43469.5</v>
      </c>
      <c r="AG223" s="33">
        <f t="shared" si="39"/>
        <v>43478</v>
      </c>
      <c r="AH223">
        <v>275</v>
      </c>
      <c r="AK223" s="36" t="str">
        <f t="shared" si="33"/>
        <v/>
      </c>
      <c r="AL223">
        <f t="shared" si="40"/>
        <v>20</v>
      </c>
      <c r="AM223">
        <v>20</v>
      </c>
      <c r="AN223">
        <f t="shared" si="34"/>
        <v>12</v>
      </c>
      <c r="AO223" t="str">
        <f t="shared" si="35"/>
        <v>1.1.---4.1.---13.1.</v>
      </c>
      <c r="AP223" t="str">
        <f t="shared" si="36"/>
        <v>Helmipöllö</v>
      </c>
      <c r="AQ223" t="str">
        <f t="shared" si="41"/>
        <v>(1.1.---4.1.---13.1., 20/21)</v>
      </c>
    </row>
    <row r="224" spans="1:43" x14ac:dyDescent="0.2">
      <c r="A224" s="1"/>
      <c r="B224" s="9">
        <f t="shared" si="32"/>
        <v>219</v>
      </c>
      <c r="C224" s="10"/>
      <c r="D224" s="13" t="s">
        <v>216</v>
      </c>
      <c r="E224" s="14"/>
      <c r="F224" s="11"/>
      <c r="G224" s="12"/>
      <c r="H224" s="11"/>
      <c r="I224" s="12">
        <v>43631</v>
      </c>
      <c r="J224" s="11">
        <v>43611</v>
      </c>
      <c r="K224" s="12"/>
      <c r="L224" s="11"/>
      <c r="M224" s="12"/>
      <c r="N224" s="11"/>
      <c r="O224" s="12">
        <v>43599</v>
      </c>
      <c r="P224" s="11"/>
      <c r="Q224" s="12"/>
      <c r="R224" s="11"/>
      <c r="S224" s="12">
        <v>43603</v>
      </c>
      <c r="T224" s="11"/>
      <c r="U224" s="12">
        <v>43736</v>
      </c>
      <c r="V224" s="11">
        <v>43718</v>
      </c>
      <c r="W224" s="12">
        <v>43602</v>
      </c>
      <c r="X224" s="11"/>
      <c r="Y224" s="12"/>
      <c r="Z224" s="11"/>
      <c r="AA224" s="12">
        <v>43673</v>
      </c>
      <c r="AB224" s="11"/>
      <c r="AC224" s="12">
        <v>43674</v>
      </c>
      <c r="AD224" s="34"/>
      <c r="AE224" s="33">
        <f t="shared" si="37"/>
        <v>43599</v>
      </c>
      <c r="AF224" s="33">
        <f t="shared" si="38"/>
        <v>43611</v>
      </c>
      <c r="AG224" s="33">
        <f t="shared" si="39"/>
        <v>43736</v>
      </c>
      <c r="AH224">
        <v>276</v>
      </c>
      <c r="AK224" s="36" t="str">
        <f t="shared" si="33"/>
        <v/>
      </c>
      <c r="AL224" t="str">
        <f t="shared" si="40"/>
        <v/>
      </c>
      <c r="AM224" t="s">
        <v>393</v>
      </c>
      <c r="AN224">
        <f t="shared" si="34"/>
        <v>137</v>
      </c>
      <c r="AO224" t="str">
        <f t="shared" si="35"/>
        <v>14.5.---26.5.---28.9.</v>
      </c>
      <c r="AP224" t="str">
        <f t="shared" si="36"/>
        <v>Kehrääjä</v>
      </c>
      <c r="AQ224" t="str">
        <f t="shared" si="41"/>
        <v>(14.5.---26.5.---28.9.)</v>
      </c>
    </row>
    <row r="225" spans="1:43" x14ac:dyDescent="0.2">
      <c r="A225" s="1"/>
      <c r="B225" s="9">
        <f t="shared" si="32"/>
        <v>220</v>
      </c>
      <c r="C225" s="10"/>
      <c r="D225" s="9" t="s">
        <v>217</v>
      </c>
      <c r="E225" s="10"/>
      <c r="F225" s="11">
        <v>43605</v>
      </c>
      <c r="G225" s="12">
        <v>43602</v>
      </c>
      <c r="H225" s="11">
        <v>43594</v>
      </c>
      <c r="I225" s="12">
        <v>43599</v>
      </c>
      <c r="J225" s="11">
        <v>43602</v>
      </c>
      <c r="K225" s="12">
        <v>43592</v>
      </c>
      <c r="L225" s="11">
        <v>43582</v>
      </c>
      <c r="M225" s="12">
        <v>43600</v>
      </c>
      <c r="N225" s="11">
        <v>43602</v>
      </c>
      <c r="O225" s="12">
        <v>43588</v>
      </c>
      <c r="P225" s="11">
        <v>43597</v>
      </c>
      <c r="Q225" s="12">
        <v>43597</v>
      </c>
      <c r="R225" s="11">
        <v>43595</v>
      </c>
      <c r="S225" s="12">
        <v>43596</v>
      </c>
      <c r="T225" s="11">
        <v>43592</v>
      </c>
      <c r="U225" s="12">
        <v>43602</v>
      </c>
      <c r="V225" s="11">
        <v>43595</v>
      </c>
      <c r="W225" s="12">
        <v>43599</v>
      </c>
      <c r="X225" s="11">
        <v>43593</v>
      </c>
      <c r="Y225" s="12">
        <v>43600</v>
      </c>
      <c r="Z225" s="11">
        <v>43596</v>
      </c>
      <c r="AA225" s="12">
        <v>43597</v>
      </c>
      <c r="AB225" s="11">
        <v>43603</v>
      </c>
      <c r="AC225" s="12">
        <v>43598</v>
      </c>
      <c r="AD225" s="34"/>
      <c r="AE225" s="33">
        <f t="shared" si="37"/>
        <v>43582</v>
      </c>
      <c r="AF225" s="33">
        <f t="shared" si="38"/>
        <v>43597</v>
      </c>
      <c r="AG225" s="33">
        <f t="shared" si="39"/>
        <v>43605</v>
      </c>
      <c r="AH225">
        <v>278</v>
      </c>
      <c r="AK225" s="36" t="str">
        <f t="shared" si="33"/>
        <v/>
      </c>
      <c r="AL225" t="str">
        <f t="shared" si="40"/>
        <v/>
      </c>
      <c r="AM225" t="s">
        <v>393</v>
      </c>
      <c r="AN225">
        <f t="shared" si="34"/>
        <v>23</v>
      </c>
      <c r="AO225" t="str">
        <f t="shared" si="35"/>
        <v>27.4.---12.5.---20.5.</v>
      </c>
      <c r="AP225" t="str">
        <f t="shared" si="36"/>
        <v>Tervapääsky</v>
      </c>
      <c r="AQ225" t="str">
        <f t="shared" si="41"/>
        <v>(27.4.---12.5.---20.5.)</v>
      </c>
    </row>
    <row r="226" spans="1:43" x14ac:dyDescent="0.2">
      <c r="A226" s="1"/>
      <c r="B226" s="9">
        <f t="shared" si="32"/>
        <v>221</v>
      </c>
      <c r="C226" s="10"/>
      <c r="D226" s="15" t="s">
        <v>218</v>
      </c>
      <c r="E226" s="16"/>
      <c r="F226" s="11"/>
      <c r="G226" s="12"/>
      <c r="H226" s="11"/>
      <c r="I226" s="12"/>
      <c r="J226" s="11"/>
      <c r="K226" s="12"/>
      <c r="L226" s="11"/>
      <c r="M226" s="12"/>
      <c r="N226" s="11"/>
      <c r="O226" s="12"/>
      <c r="P226" s="11"/>
      <c r="Q226" s="12"/>
      <c r="R226" s="11"/>
      <c r="S226" s="12"/>
      <c r="T226" s="11"/>
      <c r="U226" s="12"/>
      <c r="V226" s="11"/>
      <c r="W226" s="12"/>
      <c r="X226" s="11"/>
      <c r="Y226" s="12"/>
      <c r="Z226" s="11"/>
      <c r="AA226" s="12"/>
      <c r="AB226" s="11"/>
      <c r="AC226" s="12"/>
      <c r="AD226" s="34"/>
      <c r="AE226" s="33" t="str">
        <f t="shared" si="37"/>
        <v/>
      </c>
      <c r="AF226" s="33" t="str">
        <f t="shared" si="38"/>
        <v/>
      </c>
      <c r="AG226" s="33" t="str">
        <f t="shared" si="39"/>
        <v/>
      </c>
      <c r="AH226">
        <v>281</v>
      </c>
      <c r="AK226" s="36" t="str">
        <f t="shared" si="33"/>
        <v/>
      </c>
      <c r="AL226" t="str">
        <f t="shared" si="40"/>
        <v/>
      </c>
      <c r="AM226" t="s">
        <v>393</v>
      </c>
      <c r="AN226" t="e">
        <f t="shared" si="34"/>
        <v>#VALUE!</v>
      </c>
      <c r="AO226" t="str">
        <f t="shared" si="35"/>
        <v>------</v>
      </c>
      <c r="AP226" t="str">
        <f t="shared" si="36"/>
        <v>Häätökiitäjä</v>
      </c>
      <c r="AQ226" t="str">
        <f t="shared" si="41"/>
        <v>(------)</v>
      </c>
    </row>
    <row r="227" spans="1:43" x14ac:dyDescent="0.2">
      <c r="A227" s="1"/>
      <c r="B227" s="9">
        <f t="shared" si="32"/>
        <v>222</v>
      </c>
      <c r="C227" s="10"/>
      <c r="D227" s="9" t="s">
        <v>219</v>
      </c>
      <c r="E227" s="10"/>
      <c r="F227" s="11"/>
      <c r="G227" s="12"/>
      <c r="H227" s="11"/>
      <c r="I227" s="12">
        <v>43597</v>
      </c>
      <c r="J227" s="11"/>
      <c r="K227" s="12">
        <v>43599</v>
      </c>
      <c r="L227" s="11">
        <v>43611</v>
      </c>
      <c r="M227" s="12"/>
      <c r="N227" s="11">
        <v>43588</v>
      </c>
      <c r="O227" s="12"/>
      <c r="P227" s="11"/>
      <c r="Q227" s="12"/>
      <c r="R227" s="11">
        <v>43584</v>
      </c>
      <c r="S227" s="12">
        <v>43589</v>
      </c>
      <c r="T227" s="11">
        <v>43590</v>
      </c>
      <c r="U227" s="12">
        <v>43622</v>
      </c>
      <c r="V227" s="11"/>
      <c r="W227" s="12">
        <v>43613</v>
      </c>
      <c r="X227" s="11"/>
      <c r="Y227" s="12">
        <v>43667</v>
      </c>
      <c r="Z227" s="11">
        <v>43595</v>
      </c>
      <c r="AA227" s="12">
        <v>43636</v>
      </c>
      <c r="AB227" s="11">
        <v>43573</v>
      </c>
      <c r="AC227" s="12">
        <v>43617</v>
      </c>
      <c r="AD227" s="34"/>
      <c r="AE227" s="33">
        <f t="shared" si="37"/>
        <v>43584</v>
      </c>
      <c r="AF227" s="33">
        <f t="shared" si="38"/>
        <v>43597</v>
      </c>
      <c r="AG227" s="33">
        <f t="shared" si="39"/>
        <v>43667</v>
      </c>
      <c r="AH227">
        <v>282</v>
      </c>
      <c r="AK227" s="36" t="str">
        <f t="shared" si="33"/>
        <v/>
      </c>
      <c r="AL227" t="str">
        <f t="shared" si="40"/>
        <v/>
      </c>
      <c r="AM227" t="s">
        <v>393</v>
      </c>
      <c r="AN227">
        <f t="shared" si="34"/>
        <v>83</v>
      </c>
      <c r="AO227" t="str">
        <f t="shared" si="35"/>
        <v>29.4.---12.5.---21.7.</v>
      </c>
      <c r="AP227" t="str">
        <f t="shared" si="36"/>
        <v>Kuningaskalastaja</v>
      </c>
      <c r="AQ227" t="str">
        <f t="shared" si="41"/>
        <v>(29.4.---12.5.---21.7.)</v>
      </c>
    </row>
    <row r="228" spans="1:43" x14ac:dyDescent="0.2">
      <c r="A228" s="1"/>
      <c r="B228" s="9">
        <f t="shared" si="32"/>
        <v>223</v>
      </c>
      <c r="C228" s="10"/>
      <c r="D228" s="13" t="s">
        <v>220</v>
      </c>
      <c r="E228" s="14"/>
      <c r="F228" s="11"/>
      <c r="G228" s="12"/>
      <c r="H228" s="11"/>
      <c r="I228" s="12">
        <v>43641</v>
      </c>
      <c r="J228" s="11">
        <v>43611</v>
      </c>
      <c r="K228" s="12">
        <v>43604</v>
      </c>
      <c r="L228" s="11">
        <v>43612</v>
      </c>
      <c r="M228" s="12"/>
      <c r="N228" s="11"/>
      <c r="O228" s="12">
        <v>43587</v>
      </c>
      <c r="P228" s="11"/>
      <c r="Q228" s="12">
        <v>43608</v>
      </c>
      <c r="R228" s="11">
        <v>43623</v>
      </c>
      <c r="S228" s="12"/>
      <c r="T228" s="11"/>
      <c r="U228" s="12"/>
      <c r="V228" s="11"/>
      <c r="W228" s="12"/>
      <c r="X228" s="11"/>
      <c r="Y228" s="12"/>
      <c r="Z228" s="11"/>
      <c r="AA228" s="12">
        <v>43615</v>
      </c>
      <c r="AB228" s="11"/>
      <c r="AC228" s="12"/>
      <c r="AD228" s="34"/>
      <c r="AE228" s="33">
        <f t="shared" si="37"/>
        <v>43587</v>
      </c>
      <c r="AF228" s="33">
        <f t="shared" si="38"/>
        <v>43611</v>
      </c>
      <c r="AG228" s="33">
        <f t="shared" si="39"/>
        <v>43641</v>
      </c>
      <c r="AH228">
        <v>283</v>
      </c>
      <c r="AK228" s="36" t="str">
        <f t="shared" si="33"/>
        <v/>
      </c>
      <c r="AL228" t="str">
        <f t="shared" si="40"/>
        <v/>
      </c>
      <c r="AM228" t="s">
        <v>393</v>
      </c>
      <c r="AN228">
        <f t="shared" si="34"/>
        <v>54</v>
      </c>
      <c r="AO228" t="str">
        <f t="shared" si="35"/>
        <v>2.5.---26.5.---25.6.</v>
      </c>
      <c r="AP228" t="str">
        <f t="shared" si="36"/>
        <v>Mehiläissyöjä</v>
      </c>
      <c r="AQ228" t="str">
        <f t="shared" si="41"/>
        <v>(2.5.---26.5.---25.6.)</v>
      </c>
    </row>
    <row r="229" spans="1:43" x14ac:dyDescent="0.2">
      <c r="A229" s="1"/>
      <c r="B229" s="9">
        <f t="shared" si="32"/>
        <v>224</v>
      </c>
      <c r="C229" s="10"/>
      <c r="D229" s="13" t="s">
        <v>221</v>
      </c>
      <c r="E229" s="14"/>
      <c r="F229" s="11"/>
      <c r="G229" s="12"/>
      <c r="H229" s="11"/>
      <c r="I229" s="12">
        <v>43729</v>
      </c>
      <c r="J229" s="11"/>
      <c r="K229" s="12"/>
      <c r="L229" s="11"/>
      <c r="M229" s="12"/>
      <c r="N229" s="11"/>
      <c r="O229" s="12"/>
      <c r="P229" s="11"/>
      <c r="Q229" s="12"/>
      <c r="R229" s="11"/>
      <c r="S229" s="12"/>
      <c r="T229" s="11"/>
      <c r="U229" s="12"/>
      <c r="V229" s="11"/>
      <c r="W229" s="12"/>
      <c r="X229" s="11">
        <v>43617</v>
      </c>
      <c r="Y229" s="12"/>
      <c r="Z229" s="11"/>
      <c r="AA229" s="12"/>
      <c r="AB229" s="11"/>
      <c r="AC229" s="12"/>
      <c r="AD229" s="34"/>
      <c r="AE229" s="33">
        <f t="shared" si="37"/>
        <v>43617</v>
      </c>
      <c r="AF229" s="33">
        <f t="shared" si="38"/>
        <v>43673</v>
      </c>
      <c r="AG229" s="33">
        <f t="shared" si="39"/>
        <v>43729</v>
      </c>
      <c r="AH229">
        <v>285</v>
      </c>
      <c r="AK229" s="36" t="str">
        <f t="shared" si="33"/>
        <v/>
      </c>
      <c r="AL229" t="str">
        <f t="shared" si="40"/>
        <v/>
      </c>
      <c r="AM229" t="s">
        <v>393</v>
      </c>
      <c r="AN229">
        <f t="shared" si="34"/>
        <v>112</v>
      </c>
      <c r="AO229" t="str">
        <f t="shared" si="35"/>
        <v>1.6.---27.7.---21.9.</v>
      </c>
      <c r="AP229" t="str">
        <f t="shared" si="36"/>
        <v>Sininärhi</v>
      </c>
      <c r="AQ229" t="str">
        <f t="shared" si="41"/>
        <v>(1.6.---27.7.---21.9.)</v>
      </c>
    </row>
    <row r="230" spans="1:43" x14ac:dyDescent="0.2">
      <c r="A230" s="1"/>
      <c r="B230" s="9">
        <f t="shared" si="32"/>
        <v>225</v>
      </c>
      <c r="C230" s="10"/>
      <c r="D230" s="9" t="s">
        <v>222</v>
      </c>
      <c r="E230" s="10"/>
      <c r="F230" s="11">
        <v>43761</v>
      </c>
      <c r="G230" s="12">
        <v>43718</v>
      </c>
      <c r="H230" s="11">
        <v>43743</v>
      </c>
      <c r="I230" s="12">
        <v>43722</v>
      </c>
      <c r="J230" s="11">
        <v>43595</v>
      </c>
      <c r="K230" s="12">
        <v>43619</v>
      </c>
      <c r="L230" s="11">
        <v>43739</v>
      </c>
      <c r="M230" s="12">
        <v>43606</v>
      </c>
      <c r="N230" s="11">
        <v>43595</v>
      </c>
      <c r="O230" s="12">
        <v>43746</v>
      </c>
      <c r="P230" s="11">
        <v>43646</v>
      </c>
      <c r="Q230" s="12">
        <v>43578</v>
      </c>
      <c r="R230" s="11">
        <v>43743</v>
      </c>
      <c r="S230" s="12">
        <v>43719</v>
      </c>
      <c r="T230" s="11">
        <v>43586</v>
      </c>
      <c r="U230" s="12">
        <v>43763</v>
      </c>
      <c r="V230" s="11">
        <v>43590</v>
      </c>
      <c r="W230" s="12">
        <v>43729</v>
      </c>
      <c r="X230" s="11">
        <v>43655</v>
      </c>
      <c r="Y230" s="12">
        <v>43589</v>
      </c>
      <c r="Z230" s="11">
        <v>43587</v>
      </c>
      <c r="AA230" s="12">
        <v>43573</v>
      </c>
      <c r="AB230" s="11">
        <v>43726</v>
      </c>
      <c r="AC230" s="12">
        <v>43584</v>
      </c>
      <c r="AD230" s="34"/>
      <c r="AE230" s="33">
        <f t="shared" si="37"/>
        <v>43578</v>
      </c>
      <c r="AF230" s="33">
        <f t="shared" si="38"/>
        <v>43655</v>
      </c>
      <c r="AG230" s="33">
        <f t="shared" si="39"/>
        <v>43763</v>
      </c>
      <c r="AH230">
        <v>286</v>
      </c>
      <c r="AK230" s="36" t="str">
        <f t="shared" si="33"/>
        <v/>
      </c>
      <c r="AL230" t="str">
        <f t="shared" si="40"/>
        <v/>
      </c>
      <c r="AM230" t="s">
        <v>393</v>
      </c>
      <c r="AN230">
        <f t="shared" si="34"/>
        <v>185</v>
      </c>
      <c r="AO230" t="str">
        <f t="shared" si="35"/>
        <v>23.4.---9.7.---25.10.</v>
      </c>
      <c r="AP230" t="str">
        <f t="shared" si="36"/>
        <v>Harjalintu</v>
      </c>
      <c r="AQ230" t="str">
        <f t="shared" si="41"/>
        <v>(23.4.---9.7.---25.10.)</v>
      </c>
    </row>
    <row r="231" spans="1:43" x14ac:dyDescent="0.2">
      <c r="A231" s="1"/>
      <c r="B231" s="9">
        <f t="shared" si="32"/>
        <v>226</v>
      </c>
      <c r="C231" s="10"/>
      <c r="D231" s="9" t="s">
        <v>223</v>
      </c>
      <c r="E231" s="10"/>
      <c r="F231" s="11">
        <v>43583</v>
      </c>
      <c r="G231" s="12">
        <v>43584</v>
      </c>
      <c r="H231" s="11">
        <v>43586</v>
      </c>
      <c r="I231" s="12">
        <v>43583</v>
      </c>
      <c r="J231" s="11">
        <v>43584</v>
      </c>
      <c r="K231" s="12">
        <v>43578</v>
      </c>
      <c r="L231" s="11">
        <v>43583</v>
      </c>
      <c r="M231" s="12">
        <v>43585</v>
      </c>
      <c r="N231" s="11">
        <v>43584</v>
      </c>
      <c r="O231" s="12">
        <v>43580</v>
      </c>
      <c r="P231" s="11">
        <v>43589</v>
      </c>
      <c r="Q231" s="12">
        <v>43583</v>
      </c>
      <c r="R231" s="11">
        <v>43583</v>
      </c>
      <c r="S231" s="12">
        <v>43583</v>
      </c>
      <c r="T231" s="11">
        <v>43586</v>
      </c>
      <c r="U231" s="12">
        <v>43586</v>
      </c>
      <c r="V231" s="11">
        <v>43583</v>
      </c>
      <c r="W231" s="12">
        <v>43597</v>
      </c>
      <c r="X231" s="11">
        <v>43573</v>
      </c>
      <c r="Y231" s="12">
        <v>43581</v>
      </c>
      <c r="Z231" s="11">
        <v>43585</v>
      </c>
      <c r="AA231" s="12">
        <v>43590</v>
      </c>
      <c r="AB231" s="11">
        <v>43580</v>
      </c>
      <c r="AC231" s="12">
        <v>43590</v>
      </c>
      <c r="AD231" s="34"/>
      <c r="AE231" s="33">
        <f t="shared" si="37"/>
        <v>43573</v>
      </c>
      <c r="AF231" s="33">
        <f t="shared" si="38"/>
        <v>43583</v>
      </c>
      <c r="AG231" s="33">
        <f t="shared" si="39"/>
        <v>43597</v>
      </c>
      <c r="AH231">
        <v>287</v>
      </c>
      <c r="AK231" s="36" t="str">
        <f t="shared" si="33"/>
        <v/>
      </c>
      <c r="AL231" t="str">
        <f t="shared" si="40"/>
        <v/>
      </c>
      <c r="AM231" t="s">
        <v>393</v>
      </c>
      <c r="AN231">
        <f t="shared" si="34"/>
        <v>24</v>
      </c>
      <c r="AO231" t="str">
        <f t="shared" si="35"/>
        <v>18.4.---28.4.---12.5.</v>
      </c>
      <c r="AP231" t="str">
        <f t="shared" si="36"/>
        <v>Käenpiika</v>
      </c>
      <c r="AQ231" t="str">
        <f t="shared" si="41"/>
        <v>(18.4.---28.4.---12.5.)</v>
      </c>
    </row>
    <row r="232" spans="1:43" x14ac:dyDescent="0.2">
      <c r="A232" s="1"/>
      <c r="B232" s="9">
        <f t="shared" si="32"/>
        <v>227</v>
      </c>
      <c r="C232" s="10"/>
      <c r="D232" s="9" t="s">
        <v>224</v>
      </c>
      <c r="E232" s="10"/>
      <c r="F232" s="11">
        <v>43479</v>
      </c>
      <c r="G232" s="12">
        <v>43546</v>
      </c>
      <c r="H232" s="11">
        <v>43466</v>
      </c>
      <c r="I232" s="12">
        <v>43466</v>
      </c>
      <c r="J232" s="11">
        <v>43466</v>
      </c>
      <c r="K232" s="12">
        <v>43466</v>
      </c>
      <c r="L232" s="11">
        <v>43469</v>
      </c>
      <c r="M232" s="12">
        <v>43466</v>
      </c>
      <c r="N232" s="11">
        <v>43466</v>
      </c>
      <c r="O232" s="12">
        <v>43466</v>
      </c>
      <c r="P232" s="11">
        <v>43466</v>
      </c>
      <c r="Q232" s="12">
        <v>43466</v>
      </c>
      <c r="R232" s="11">
        <v>43475</v>
      </c>
      <c r="S232" s="12">
        <v>43466</v>
      </c>
      <c r="T232" s="11">
        <v>43469</v>
      </c>
      <c r="U232" s="12">
        <v>43466</v>
      </c>
      <c r="V232" s="11">
        <v>43466</v>
      </c>
      <c r="W232" s="12">
        <v>43466</v>
      </c>
      <c r="X232" s="11">
        <v>43466</v>
      </c>
      <c r="Y232" s="12">
        <v>43466</v>
      </c>
      <c r="Z232" s="11">
        <v>43466</v>
      </c>
      <c r="AA232" s="12">
        <v>43466</v>
      </c>
      <c r="AB232" s="11">
        <v>43466</v>
      </c>
      <c r="AC232" s="12">
        <v>43466</v>
      </c>
      <c r="AD232" s="34"/>
      <c r="AE232" s="33">
        <f t="shared" si="37"/>
        <v>43466</v>
      </c>
      <c r="AF232" s="33">
        <f t="shared" si="38"/>
        <v>43466</v>
      </c>
      <c r="AG232" s="33">
        <f t="shared" si="39"/>
        <v>43546</v>
      </c>
      <c r="AH232">
        <v>288</v>
      </c>
      <c r="AK232" s="36" t="str">
        <f t="shared" si="33"/>
        <v/>
      </c>
      <c r="AL232">
        <f t="shared" si="40"/>
        <v>20</v>
      </c>
      <c r="AM232">
        <v>20</v>
      </c>
      <c r="AN232">
        <f t="shared" si="34"/>
        <v>80</v>
      </c>
      <c r="AO232" t="str">
        <f t="shared" si="35"/>
        <v>1.1.---1.1.---22.3.</v>
      </c>
      <c r="AP232" t="str">
        <f t="shared" si="36"/>
        <v>Harmaapäätikka</v>
      </c>
      <c r="AQ232" t="str">
        <f t="shared" si="41"/>
        <v>(1.1.---1.1.---22.3., 20/21)</v>
      </c>
    </row>
    <row r="233" spans="1:43" x14ac:dyDescent="0.2">
      <c r="A233" s="1"/>
      <c r="B233" s="9">
        <f t="shared" si="32"/>
        <v>228</v>
      </c>
      <c r="C233" s="10"/>
      <c r="D233" s="9" t="s">
        <v>225</v>
      </c>
      <c r="E233" s="10"/>
      <c r="F233" s="11"/>
      <c r="G233" s="12"/>
      <c r="H233" s="11">
        <v>43466</v>
      </c>
      <c r="I233" s="12">
        <v>43469</v>
      </c>
      <c r="J233" s="11">
        <v>43467</v>
      </c>
      <c r="K233" s="12">
        <v>43466</v>
      </c>
      <c r="L233" s="11">
        <v>43466</v>
      </c>
      <c r="M233" s="12">
        <v>43466</v>
      </c>
      <c r="N233" s="11">
        <v>43466</v>
      </c>
      <c r="O233" s="12">
        <v>43466</v>
      </c>
      <c r="P233" s="11">
        <v>43471</v>
      </c>
      <c r="Q233" s="12">
        <v>43466</v>
      </c>
      <c r="R233" s="11">
        <v>43466</v>
      </c>
      <c r="S233" s="12">
        <v>43467</v>
      </c>
      <c r="T233" s="11">
        <v>43466</v>
      </c>
      <c r="U233" s="12">
        <v>43466</v>
      </c>
      <c r="V233" s="11">
        <v>43466</v>
      </c>
      <c r="W233" s="12">
        <v>43466</v>
      </c>
      <c r="X233" s="11">
        <v>43466</v>
      </c>
      <c r="Y233" s="12">
        <v>43466</v>
      </c>
      <c r="Z233" s="11">
        <v>43466</v>
      </c>
      <c r="AA233" s="12">
        <v>43466</v>
      </c>
      <c r="AB233" s="11">
        <v>43466</v>
      </c>
      <c r="AC233" s="12">
        <v>43466</v>
      </c>
      <c r="AD233" s="34"/>
      <c r="AE233" s="33">
        <f t="shared" si="37"/>
        <v>43466</v>
      </c>
      <c r="AF233" s="33">
        <f t="shared" si="38"/>
        <v>43466</v>
      </c>
      <c r="AG233" s="33">
        <f t="shared" si="39"/>
        <v>43471</v>
      </c>
      <c r="AH233">
        <v>290</v>
      </c>
      <c r="AK233" s="36" t="str">
        <f t="shared" si="33"/>
        <v/>
      </c>
      <c r="AL233">
        <f t="shared" si="40"/>
        <v>19</v>
      </c>
      <c r="AM233">
        <v>19</v>
      </c>
      <c r="AN233">
        <f t="shared" si="34"/>
        <v>5</v>
      </c>
      <c r="AO233" t="str">
        <f t="shared" si="35"/>
        <v>1.1.---1.1.---6.1.</v>
      </c>
      <c r="AP233" t="str">
        <f t="shared" si="36"/>
        <v>Palokärki</v>
      </c>
      <c r="AQ233" t="str">
        <f t="shared" si="41"/>
        <v>(1.1.---1.1.---6.1., 19/21)</v>
      </c>
    </row>
    <row r="234" spans="1:43" x14ac:dyDescent="0.2">
      <c r="A234" s="1"/>
      <c r="B234" s="9">
        <f t="shared" si="32"/>
        <v>229</v>
      </c>
      <c r="C234" s="10"/>
      <c r="D234" s="9" t="s">
        <v>226</v>
      </c>
      <c r="E234" s="10"/>
      <c r="F234" s="11"/>
      <c r="G234" s="12"/>
      <c r="H234" s="11">
        <v>43466</v>
      </c>
      <c r="I234" s="12">
        <v>43466</v>
      </c>
      <c r="J234" s="11">
        <v>43466</v>
      </c>
      <c r="K234" s="12">
        <v>43466</v>
      </c>
      <c r="L234" s="11">
        <v>43466</v>
      </c>
      <c r="M234" s="12">
        <v>43466</v>
      </c>
      <c r="N234" s="11">
        <v>43466</v>
      </c>
      <c r="O234" s="12">
        <v>43466</v>
      </c>
      <c r="P234" s="11">
        <v>43466</v>
      </c>
      <c r="Q234" s="12">
        <v>43466</v>
      </c>
      <c r="R234" s="11">
        <v>43466</v>
      </c>
      <c r="S234" s="12">
        <v>43466</v>
      </c>
      <c r="T234" s="11">
        <v>43466</v>
      </c>
      <c r="U234" s="12">
        <v>43466</v>
      </c>
      <c r="V234" s="11">
        <v>43466</v>
      </c>
      <c r="W234" s="12">
        <v>43466</v>
      </c>
      <c r="X234" s="11">
        <v>43466</v>
      </c>
      <c r="Y234" s="12">
        <v>43466</v>
      </c>
      <c r="Z234" s="11">
        <v>43466</v>
      </c>
      <c r="AA234" s="12">
        <v>43466</v>
      </c>
      <c r="AB234" s="11">
        <v>43466</v>
      </c>
      <c r="AC234" s="12">
        <v>43466</v>
      </c>
      <c r="AD234" s="34"/>
      <c r="AE234" s="33">
        <f t="shared" si="37"/>
        <v>43466</v>
      </c>
      <c r="AF234" s="33">
        <f t="shared" si="38"/>
        <v>43466</v>
      </c>
      <c r="AG234" s="33">
        <f t="shared" si="39"/>
        <v>43466</v>
      </c>
      <c r="AH234">
        <v>291</v>
      </c>
      <c r="AK234" s="36" t="str">
        <f t="shared" si="33"/>
        <v/>
      </c>
      <c r="AL234">
        <f t="shared" si="40"/>
        <v>19</v>
      </c>
      <c r="AM234">
        <v>19</v>
      </c>
      <c r="AN234">
        <f t="shared" si="34"/>
        <v>0</v>
      </c>
      <c r="AO234" t="str">
        <f t="shared" si="35"/>
        <v>1.1.---1.1.---1.1.</v>
      </c>
      <c r="AP234" t="str">
        <f t="shared" si="36"/>
        <v>Käpytikka</v>
      </c>
      <c r="AQ234" t="str">
        <f t="shared" si="41"/>
        <v>(1.1.---1.1.---1.1., 19/21)</v>
      </c>
    </row>
    <row r="235" spans="1:43" x14ac:dyDescent="0.2">
      <c r="A235" s="1"/>
      <c r="B235" s="9">
        <f t="shared" si="32"/>
        <v>230</v>
      </c>
      <c r="C235" s="10"/>
      <c r="D235" s="9" t="s">
        <v>227</v>
      </c>
      <c r="E235" s="10"/>
      <c r="F235" s="11"/>
      <c r="G235" s="12"/>
      <c r="H235" s="11"/>
      <c r="I235" s="12"/>
      <c r="J235" s="11">
        <v>43747</v>
      </c>
      <c r="K235" s="12">
        <v>43475</v>
      </c>
      <c r="L235" s="11">
        <v>43568</v>
      </c>
      <c r="M235" s="12">
        <v>43521</v>
      </c>
      <c r="N235" s="11">
        <v>43499</v>
      </c>
      <c r="O235" s="12">
        <v>43502</v>
      </c>
      <c r="P235" s="11">
        <v>43469</v>
      </c>
      <c r="Q235" s="12">
        <v>43495</v>
      </c>
      <c r="R235" s="11">
        <v>43528</v>
      </c>
      <c r="S235" s="12">
        <v>43466</v>
      </c>
      <c r="T235" s="11">
        <v>43466</v>
      </c>
      <c r="U235" s="12">
        <v>43466</v>
      </c>
      <c r="V235" s="11">
        <v>43466</v>
      </c>
      <c r="W235" s="12">
        <v>43466</v>
      </c>
      <c r="X235" s="11">
        <v>43466</v>
      </c>
      <c r="Y235" s="12">
        <v>43467</v>
      </c>
      <c r="Z235" s="11">
        <v>43466</v>
      </c>
      <c r="AA235" s="12">
        <v>43466</v>
      </c>
      <c r="AB235" s="11">
        <v>43466</v>
      </c>
      <c r="AC235" s="12">
        <v>43467</v>
      </c>
      <c r="AD235" s="34"/>
      <c r="AE235" s="33">
        <f t="shared" si="37"/>
        <v>43466</v>
      </c>
      <c r="AF235" s="33">
        <f t="shared" si="38"/>
        <v>43469</v>
      </c>
      <c r="AG235" s="33">
        <f t="shared" si="39"/>
        <v>43747</v>
      </c>
      <c r="AH235">
        <v>293</v>
      </c>
      <c r="AK235" s="36" t="str">
        <f t="shared" si="33"/>
        <v/>
      </c>
      <c r="AL235">
        <f t="shared" si="40"/>
        <v>14</v>
      </c>
      <c r="AM235">
        <v>14</v>
      </c>
      <c r="AN235">
        <f t="shared" si="34"/>
        <v>281</v>
      </c>
      <c r="AO235" t="str">
        <f t="shared" si="35"/>
        <v>1.1.---4.1.---9.10.</v>
      </c>
      <c r="AP235" t="str">
        <f t="shared" si="36"/>
        <v>Valkoselkätikka</v>
      </c>
      <c r="AQ235" t="str">
        <f t="shared" si="41"/>
        <v>(1.1.---4.1.---9.10., 14/21)</v>
      </c>
    </row>
    <row r="236" spans="1:43" x14ac:dyDescent="0.2">
      <c r="A236" s="1"/>
      <c r="B236" s="9">
        <f t="shared" si="32"/>
        <v>231</v>
      </c>
      <c r="C236" s="10"/>
      <c r="D236" s="9" t="s">
        <v>228</v>
      </c>
      <c r="E236" s="10"/>
      <c r="F236" s="11"/>
      <c r="G236" s="12"/>
      <c r="H236" s="11">
        <v>43466</v>
      </c>
      <c r="I236" s="12">
        <v>43492</v>
      </c>
      <c r="J236" s="11">
        <v>43466</v>
      </c>
      <c r="K236" s="12">
        <v>43466</v>
      </c>
      <c r="L236" s="11">
        <v>43466</v>
      </c>
      <c r="M236" s="12">
        <v>43471</v>
      </c>
      <c r="N236" s="11">
        <v>43466</v>
      </c>
      <c r="O236" s="12">
        <v>43467</v>
      </c>
      <c r="P236" s="11">
        <v>43466</v>
      </c>
      <c r="Q236" s="12">
        <v>43466</v>
      </c>
      <c r="R236" s="11">
        <v>43468</v>
      </c>
      <c r="S236" s="12">
        <v>43469</v>
      </c>
      <c r="T236" s="11">
        <v>43469</v>
      </c>
      <c r="U236" s="12">
        <v>43468</v>
      </c>
      <c r="V236" s="11">
        <v>43467</v>
      </c>
      <c r="W236" s="12">
        <v>43467</v>
      </c>
      <c r="X236" s="11">
        <v>43466</v>
      </c>
      <c r="Y236" s="12">
        <v>43467</v>
      </c>
      <c r="Z236" s="11">
        <v>43466</v>
      </c>
      <c r="AA236" s="12">
        <v>43466</v>
      </c>
      <c r="AB236" s="11">
        <v>43466</v>
      </c>
      <c r="AC236" s="12">
        <v>43468</v>
      </c>
      <c r="AD236" s="34"/>
      <c r="AE236" s="33">
        <f t="shared" si="37"/>
        <v>43466</v>
      </c>
      <c r="AF236" s="33">
        <f t="shared" si="38"/>
        <v>43467</v>
      </c>
      <c r="AG236" s="33">
        <f t="shared" si="39"/>
        <v>43492</v>
      </c>
      <c r="AH236">
        <v>294</v>
      </c>
      <c r="AK236" s="36" t="str">
        <f t="shared" si="33"/>
        <v/>
      </c>
      <c r="AL236">
        <f t="shared" si="40"/>
        <v>19</v>
      </c>
      <c r="AM236">
        <v>19</v>
      </c>
      <c r="AN236">
        <f t="shared" si="34"/>
        <v>26</v>
      </c>
      <c r="AO236" t="str">
        <f t="shared" si="35"/>
        <v>1.1.---2.1.---27.1.</v>
      </c>
      <c r="AP236" t="str">
        <f t="shared" si="36"/>
        <v>Pikkutikka</v>
      </c>
      <c r="AQ236" t="str">
        <f t="shared" si="41"/>
        <v>(1.1.---2.1.---27.1., 19/21)</v>
      </c>
    </row>
    <row r="237" spans="1:43" x14ac:dyDescent="0.2">
      <c r="A237" s="1"/>
      <c r="B237" s="9">
        <f t="shared" si="32"/>
        <v>232</v>
      </c>
      <c r="C237" s="10"/>
      <c r="D237" s="9" t="s">
        <v>229</v>
      </c>
      <c r="E237" s="10"/>
      <c r="F237" s="11"/>
      <c r="G237" s="12">
        <v>43466</v>
      </c>
      <c r="H237" s="11">
        <v>43482</v>
      </c>
      <c r="I237" s="12">
        <v>43466</v>
      </c>
      <c r="J237" s="11">
        <v>43466</v>
      </c>
      <c r="K237" s="12">
        <v>43467</v>
      </c>
      <c r="L237" s="11">
        <v>43469</v>
      </c>
      <c r="M237" s="12">
        <v>43466</v>
      </c>
      <c r="N237" s="11">
        <v>43466</v>
      </c>
      <c r="O237" s="12">
        <v>43466</v>
      </c>
      <c r="P237" s="11">
        <v>43470</v>
      </c>
      <c r="Q237" s="12">
        <v>43466</v>
      </c>
      <c r="R237" s="11">
        <v>43466</v>
      </c>
      <c r="S237" s="12">
        <v>43467</v>
      </c>
      <c r="T237" s="11">
        <v>43466</v>
      </c>
      <c r="U237" s="12">
        <v>43466</v>
      </c>
      <c r="V237" s="11">
        <v>43466</v>
      </c>
      <c r="W237" s="12">
        <v>43466</v>
      </c>
      <c r="X237" s="11">
        <v>43466</v>
      </c>
      <c r="Y237" s="12">
        <v>43468</v>
      </c>
      <c r="Z237" s="11">
        <v>43468</v>
      </c>
      <c r="AA237" s="12">
        <v>43467</v>
      </c>
      <c r="AB237" s="11">
        <v>43466</v>
      </c>
      <c r="AC237" s="12">
        <v>43468</v>
      </c>
      <c r="AD237" s="34"/>
      <c r="AE237" s="33">
        <f t="shared" si="37"/>
        <v>43466</v>
      </c>
      <c r="AF237" s="33">
        <f t="shared" si="38"/>
        <v>43466</v>
      </c>
      <c r="AG237" s="33">
        <f t="shared" si="39"/>
        <v>43482</v>
      </c>
      <c r="AH237">
        <v>295</v>
      </c>
      <c r="AK237" s="36" t="str">
        <f t="shared" si="33"/>
        <v/>
      </c>
      <c r="AL237">
        <f t="shared" si="40"/>
        <v>20</v>
      </c>
      <c r="AM237">
        <v>20</v>
      </c>
      <c r="AN237">
        <f t="shared" si="34"/>
        <v>16</v>
      </c>
      <c r="AO237" t="str">
        <f t="shared" si="35"/>
        <v>1.1.---1.1.---17.1.</v>
      </c>
      <c r="AP237" t="str">
        <f t="shared" si="36"/>
        <v>Pohjantikka</v>
      </c>
      <c r="AQ237" t="str">
        <f t="shared" si="41"/>
        <v>(1.1.---1.1.---17.1., 20/21)</v>
      </c>
    </row>
    <row r="238" spans="1:43" x14ac:dyDescent="0.2">
      <c r="A238" s="1"/>
      <c r="B238" s="9">
        <f t="shared" si="32"/>
        <v>233</v>
      </c>
      <c r="C238" s="10"/>
      <c r="D238" s="15" t="s">
        <v>230</v>
      </c>
      <c r="E238" s="16"/>
      <c r="F238" s="11"/>
      <c r="G238" s="12"/>
      <c r="H238" s="11"/>
      <c r="I238" s="12"/>
      <c r="J238" s="11"/>
      <c r="K238" s="12"/>
      <c r="L238" s="11"/>
      <c r="M238" s="12"/>
      <c r="N238" s="11"/>
      <c r="O238" s="12"/>
      <c r="P238" s="11"/>
      <c r="Q238" s="12"/>
      <c r="R238" s="11"/>
      <c r="S238" s="12"/>
      <c r="T238" s="11"/>
      <c r="U238" s="12"/>
      <c r="V238" s="11"/>
      <c r="W238" s="12"/>
      <c r="X238" s="11"/>
      <c r="Y238" s="12"/>
      <c r="Z238" s="11"/>
      <c r="AA238" s="12"/>
      <c r="AB238" s="11"/>
      <c r="AC238" s="12"/>
      <c r="AD238" s="34"/>
      <c r="AE238" s="33" t="str">
        <f t="shared" si="37"/>
        <v/>
      </c>
      <c r="AF238" s="33" t="str">
        <f t="shared" si="38"/>
        <v/>
      </c>
      <c r="AG238" s="33" t="str">
        <f t="shared" si="39"/>
        <v/>
      </c>
      <c r="AH238">
        <v>296</v>
      </c>
      <c r="AK238" s="36" t="str">
        <f t="shared" si="33"/>
        <v/>
      </c>
      <c r="AL238" t="str">
        <f t="shared" si="40"/>
        <v/>
      </c>
      <c r="AM238" t="s">
        <v>393</v>
      </c>
      <c r="AN238" t="e">
        <f t="shared" si="34"/>
        <v>#VALUE!</v>
      </c>
      <c r="AO238" t="str">
        <f t="shared" si="35"/>
        <v>------</v>
      </c>
      <c r="AP238" t="str">
        <f t="shared" si="36"/>
        <v>Arokiuru</v>
      </c>
      <c r="AQ238" t="str">
        <f t="shared" si="41"/>
        <v>(------)</v>
      </c>
    </row>
    <row r="239" spans="1:43" x14ac:dyDescent="0.2">
      <c r="A239" s="1"/>
      <c r="B239" s="9">
        <f t="shared" si="32"/>
        <v>234</v>
      </c>
      <c r="C239" s="10"/>
      <c r="D239" s="13" t="s">
        <v>231</v>
      </c>
      <c r="E239" s="14"/>
      <c r="F239" s="11"/>
      <c r="G239" s="12"/>
      <c r="H239" s="11"/>
      <c r="I239" s="12">
        <v>43617</v>
      </c>
      <c r="J239" s="11"/>
      <c r="K239" s="12">
        <v>43742</v>
      </c>
      <c r="L239" s="11"/>
      <c r="M239" s="12">
        <v>43614</v>
      </c>
      <c r="N239" s="11"/>
      <c r="O239" s="12">
        <v>43602</v>
      </c>
      <c r="P239" s="11"/>
      <c r="Q239" s="12">
        <v>43679</v>
      </c>
      <c r="R239" s="11"/>
      <c r="S239" s="12"/>
      <c r="T239" s="11"/>
      <c r="U239" s="12"/>
      <c r="V239" s="11"/>
      <c r="W239" s="12"/>
      <c r="X239" s="11"/>
      <c r="Y239" s="12"/>
      <c r="Z239" s="11"/>
      <c r="AA239" s="12"/>
      <c r="AB239" s="11">
        <v>43637</v>
      </c>
      <c r="AC239" s="12"/>
      <c r="AD239" s="34"/>
      <c r="AE239" s="33">
        <f t="shared" si="37"/>
        <v>43602</v>
      </c>
      <c r="AF239" s="33">
        <f t="shared" si="38"/>
        <v>43617</v>
      </c>
      <c r="AG239" s="33">
        <f t="shared" si="39"/>
        <v>43742</v>
      </c>
      <c r="AH239">
        <v>300</v>
      </c>
      <c r="AK239" s="36" t="str">
        <f t="shared" si="33"/>
        <v/>
      </c>
      <c r="AL239" t="str">
        <f t="shared" si="40"/>
        <v/>
      </c>
      <c r="AM239" t="s">
        <v>393</v>
      </c>
      <c r="AN239">
        <f t="shared" si="34"/>
        <v>140</v>
      </c>
      <c r="AO239" t="str">
        <f t="shared" si="35"/>
        <v>17.5.---1.6.---4.10.</v>
      </c>
      <c r="AP239" t="str">
        <f t="shared" si="36"/>
        <v>Lyhytvarvaskiuru</v>
      </c>
      <c r="AQ239" t="str">
        <f t="shared" si="41"/>
        <v>(17.5.---1.6.---4.10.)</v>
      </c>
    </row>
    <row r="240" spans="1:43" x14ac:dyDescent="0.2">
      <c r="A240" s="1"/>
      <c r="B240" s="9">
        <f t="shared" si="32"/>
        <v>235</v>
      </c>
      <c r="C240" s="10"/>
      <c r="D240" s="15" t="s">
        <v>232</v>
      </c>
      <c r="E240" s="16"/>
      <c r="F240" s="11"/>
      <c r="G240" s="12"/>
      <c r="H240" s="11"/>
      <c r="I240" s="12"/>
      <c r="J240" s="11">
        <v>43733</v>
      </c>
      <c r="K240" s="12"/>
      <c r="L240" s="11"/>
      <c r="M240" s="12"/>
      <c r="N240" s="11"/>
      <c r="O240" s="12"/>
      <c r="P240" s="11"/>
      <c r="Q240" s="12"/>
      <c r="R240" s="11"/>
      <c r="S240" s="12"/>
      <c r="T240" s="11"/>
      <c r="U240" s="12"/>
      <c r="V240" s="11"/>
      <c r="W240" s="12"/>
      <c r="X240" s="11"/>
      <c r="Y240" s="12"/>
      <c r="Z240" s="11"/>
      <c r="AA240" s="12"/>
      <c r="AB240" s="11"/>
      <c r="AC240" s="12"/>
      <c r="AD240" s="34"/>
      <c r="AE240" s="33">
        <f t="shared" si="37"/>
        <v>43733</v>
      </c>
      <c r="AF240" s="33">
        <f t="shared" si="38"/>
        <v>43733</v>
      </c>
      <c r="AG240" s="33">
        <f t="shared" si="39"/>
        <v>43733</v>
      </c>
      <c r="AH240">
        <v>301</v>
      </c>
      <c r="AK240" s="36" t="str">
        <f t="shared" si="33"/>
        <v/>
      </c>
      <c r="AL240" t="str">
        <f t="shared" si="40"/>
        <v/>
      </c>
      <c r="AM240" t="s">
        <v>393</v>
      </c>
      <c r="AN240">
        <f t="shared" si="34"/>
        <v>0</v>
      </c>
      <c r="AO240" t="str">
        <f t="shared" si="35"/>
        <v>25.9.---25.9.---25.9.</v>
      </c>
      <c r="AP240" t="str">
        <f t="shared" si="36"/>
        <v>Pikkukiuru</v>
      </c>
      <c r="AQ240" t="str">
        <f t="shared" si="41"/>
        <v>(25.9.---25.9.---25.9.)</v>
      </c>
    </row>
    <row r="241" spans="1:43" x14ac:dyDescent="0.2">
      <c r="A241" s="1"/>
      <c r="B241" s="9">
        <f t="shared" si="32"/>
        <v>236</v>
      </c>
      <c r="C241" s="10"/>
      <c r="D241" s="15" t="s">
        <v>233</v>
      </c>
      <c r="E241" s="16"/>
      <c r="F241" s="11"/>
      <c r="G241" s="12"/>
      <c r="H241" s="11"/>
      <c r="I241" s="12">
        <v>43474</v>
      </c>
      <c r="J241" s="11"/>
      <c r="K241" s="12"/>
      <c r="L241" s="11"/>
      <c r="M241" s="12"/>
      <c r="N241" s="11"/>
      <c r="O241" s="12"/>
      <c r="P241" s="11"/>
      <c r="Q241" s="12"/>
      <c r="R241" s="11"/>
      <c r="S241" s="12"/>
      <c r="T241" s="11"/>
      <c r="U241" s="12"/>
      <c r="V241" s="11"/>
      <c r="W241" s="12"/>
      <c r="X241" s="11"/>
      <c r="Y241" s="12"/>
      <c r="Z241" s="11"/>
      <c r="AA241" s="12"/>
      <c r="AB241" s="11"/>
      <c r="AC241" s="12"/>
      <c r="AD241" s="34"/>
      <c r="AE241" s="33">
        <f t="shared" si="37"/>
        <v>43474</v>
      </c>
      <c r="AF241" s="33">
        <f t="shared" si="38"/>
        <v>43474</v>
      </c>
      <c r="AG241" s="33">
        <f t="shared" si="39"/>
        <v>43474</v>
      </c>
      <c r="AH241">
        <v>302</v>
      </c>
      <c r="AK241" s="36" t="str">
        <f t="shared" si="33"/>
        <v/>
      </c>
      <c r="AL241">
        <f t="shared" si="40"/>
        <v>1</v>
      </c>
      <c r="AM241">
        <v>1</v>
      </c>
      <c r="AN241">
        <f t="shared" si="34"/>
        <v>0</v>
      </c>
      <c r="AO241" t="str">
        <f t="shared" si="35"/>
        <v>9.1.---9.1.---9.1.</v>
      </c>
      <c r="AP241" t="str">
        <f t="shared" si="36"/>
        <v>Töyhtökiuru</v>
      </c>
      <c r="AQ241" t="str">
        <f t="shared" si="41"/>
        <v>(9.1.---9.1.---9.1., 1/21)</v>
      </c>
    </row>
    <row r="242" spans="1:43" x14ac:dyDescent="0.2">
      <c r="A242" s="1"/>
      <c r="B242" s="9">
        <f t="shared" si="32"/>
        <v>237</v>
      </c>
      <c r="C242" s="10"/>
      <c r="D242" s="9" t="s">
        <v>234</v>
      </c>
      <c r="E242" s="10"/>
      <c r="F242" s="11"/>
      <c r="G242" s="12"/>
      <c r="H242" s="11">
        <v>43561</v>
      </c>
      <c r="I242" s="12">
        <v>43573</v>
      </c>
      <c r="J242" s="11">
        <v>43558</v>
      </c>
      <c r="K242" s="12">
        <v>43560</v>
      </c>
      <c r="L242" s="11">
        <v>43569</v>
      </c>
      <c r="M242" s="12">
        <v>43547</v>
      </c>
      <c r="N242" s="11">
        <v>43557</v>
      </c>
      <c r="O242" s="12">
        <v>43560</v>
      </c>
      <c r="P242" s="11">
        <f>IF(AG1,DATE(2019,1,2),DATE(2019,4,1))</f>
        <v>43556</v>
      </c>
      <c r="Q242" s="12">
        <v>43564</v>
      </c>
      <c r="R242" s="11">
        <v>43562</v>
      </c>
      <c r="S242" s="12">
        <v>43572</v>
      </c>
      <c r="T242" s="11">
        <v>43546</v>
      </c>
      <c r="U242" s="12">
        <v>43538</v>
      </c>
      <c r="V242" s="11">
        <v>43552</v>
      </c>
      <c r="W242" s="12">
        <v>43561</v>
      </c>
      <c r="X242" s="11">
        <v>43566</v>
      </c>
      <c r="Y242" s="12">
        <v>43555</v>
      </c>
      <c r="Z242" s="11">
        <v>43546</v>
      </c>
      <c r="AA242" s="12">
        <v>43552</v>
      </c>
      <c r="AB242" s="11">
        <v>43569</v>
      </c>
      <c r="AC242" s="12">
        <v>43564</v>
      </c>
      <c r="AD242" s="34"/>
      <c r="AE242" s="33">
        <f t="shared" si="37"/>
        <v>43538</v>
      </c>
      <c r="AF242" s="33">
        <f t="shared" si="38"/>
        <v>43560</v>
      </c>
      <c r="AG242" s="33">
        <f t="shared" si="39"/>
        <v>43573</v>
      </c>
      <c r="AH242">
        <v>303</v>
      </c>
      <c r="AK242" s="36" t="str">
        <f t="shared" si="33"/>
        <v/>
      </c>
      <c r="AL242" t="str">
        <f t="shared" si="40"/>
        <v/>
      </c>
      <c r="AM242">
        <v>1</v>
      </c>
      <c r="AN242">
        <f t="shared" si="34"/>
        <v>35</v>
      </c>
      <c r="AO242" t="str">
        <f t="shared" si="35"/>
        <v>14.3.---5.4.---18.4.</v>
      </c>
      <c r="AP242" t="str">
        <f t="shared" si="36"/>
        <v>Kangaskiuru</v>
      </c>
      <c r="AQ242" t="str">
        <f t="shared" si="41"/>
        <v>(14.3.---5.4.---18.4., 1/21)</v>
      </c>
    </row>
    <row r="243" spans="1:43" x14ac:dyDescent="0.2">
      <c r="A243" s="1"/>
      <c r="B243" s="9">
        <f t="shared" si="32"/>
        <v>238</v>
      </c>
      <c r="C243" s="10"/>
      <c r="D243" s="9" t="s">
        <v>235</v>
      </c>
      <c r="E243" s="10"/>
      <c r="F243" s="11">
        <v>43545</v>
      </c>
      <c r="G243" s="12">
        <f>IF(AG1,DATE(2019,1,6),DATE(2019,3,27))</f>
        <v>43551</v>
      </c>
      <c r="H243" s="11">
        <v>43542</v>
      </c>
      <c r="I243" s="12">
        <v>43548</v>
      </c>
      <c r="J243" s="11">
        <v>43553</v>
      </c>
      <c r="K243" s="12">
        <v>43551</v>
      </c>
      <c r="L243" s="11">
        <v>43559</v>
      </c>
      <c r="M243" s="12">
        <f>IF(AG1,DATE(2019,1,1),DATE(2019,3,13))</f>
        <v>43537</v>
      </c>
      <c r="N243" s="11">
        <v>43534</v>
      </c>
      <c r="O243" s="12">
        <v>43541</v>
      </c>
      <c r="P243" s="11">
        <v>43556</v>
      </c>
      <c r="Q243" s="12">
        <v>43551</v>
      </c>
      <c r="R243" s="11">
        <v>43540</v>
      </c>
      <c r="S243" s="12">
        <v>43551</v>
      </c>
      <c r="T243" s="11">
        <f>IF(AG1,DATE(2019,2,6),DATE(2019,3,10))</f>
        <v>43534</v>
      </c>
      <c r="U243" s="12">
        <v>43533</v>
      </c>
      <c r="V243" s="11">
        <v>43540</v>
      </c>
      <c r="W243" s="12">
        <v>43540</v>
      </c>
      <c r="X243" s="11">
        <v>43560</v>
      </c>
      <c r="Y243" s="12">
        <v>43544</v>
      </c>
      <c r="Z243" s="11">
        <v>43533</v>
      </c>
      <c r="AA243" s="12">
        <v>43548</v>
      </c>
      <c r="AB243" s="11">
        <v>43539</v>
      </c>
      <c r="AC243" s="12">
        <v>43560</v>
      </c>
      <c r="AD243" s="34"/>
      <c r="AE243" s="33">
        <f t="shared" si="37"/>
        <v>43533</v>
      </c>
      <c r="AF243" s="33">
        <f t="shared" si="38"/>
        <v>43544</v>
      </c>
      <c r="AG243" s="33">
        <f t="shared" si="39"/>
        <v>43560</v>
      </c>
      <c r="AH243">
        <v>304</v>
      </c>
      <c r="AK243" s="36" t="str">
        <f t="shared" si="33"/>
        <v/>
      </c>
      <c r="AL243" t="str">
        <f t="shared" si="40"/>
        <v/>
      </c>
      <c r="AM243">
        <v>3</v>
      </c>
      <c r="AN243">
        <f t="shared" si="34"/>
        <v>27</v>
      </c>
      <c r="AO243" t="str">
        <f t="shared" si="35"/>
        <v>9.3.---20.3.---5.4.</v>
      </c>
      <c r="AP243" t="str">
        <f t="shared" si="36"/>
        <v>Kiuru</v>
      </c>
      <c r="AQ243" t="str">
        <f t="shared" si="41"/>
        <v>(9.3.---20.3.---5.4., 3/21)</v>
      </c>
    </row>
    <row r="244" spans="1:43" x14ac:dyDescent="0.2">
      <c r="A244" s="1"/>
      <c r="B244" s="9">
        <f t="shared" si="32"/>
        <v>239</v>
      </c>
      <c r="C244" s="10"/>
      <c r="D244" s="9" t="s">
        <v>236</v>
      </c>
      <c r="E244" s="10"/>
      <c r="F244" s="11">
        <v>43574</v>
      </c>
      <c r="G244" s="12">
        <v>43571</v>
      </c>
      <c r="H244" s="11">
        <v>43573</v>
      </c>
      <c r="I244" s="12">
        <f>IF(AG1,DATE(2019,1,1),DATE(2019,4,21))</f>
        <v>43576</v>
      </c>
      <c r="J244" s="11">
        <f>IF(AG1,DATE(2019,1,10),DATE(2019,4,11))</f>
        <v>43566</v>
      </c>
      <c r="K244" s="12">
        <v>43565</v>
      </c>
      <c r="L244" s="11">
        <v>43745</v>
      </c>
      <c r="M244" s="12">
        <f>IF(AG1,DATE(2019,1,31),DATE(2019,4,1))</f>
        <v>43556</v>
      </c>
      <c r="N244" s="11">
        <v>43561</v>
      </c>
      <c r="O244" s="12">
        <v>43530</v>
      </c>
      <c r="P244" s="11">
        <v>43575</v>
      </c>
      <c r="Q244" s="12">
        <v>43579</v>
      </c>
      <c r="R244" s="11">
        <v>43567</v>
      </c>
      <c r="S244" s="12">
        <f>IF(AG1,DATE(2019,1,15),DATE(2019,5,11))</f>
        <v>43596</v>
      </c>
      <c r="T244" s="11">
        <v>43553</v>
      </c>
      <c r="U244" s="12">
        <v>43560</v>
      </c>
      <c r="V244" s="11">
        <v>43568</v>
      </c>
      <c r="W244" s="12">
        <v>43567</v>
      </c>
      <c r="X244" s="11">
        <v>43568</v>
      </c>
      <c r="Y244" s="12">
        <v>43561</v>
      </c>
      <c r="Z244" s="11">
        <v>43551</v>
      </c>
      <c r="AA244" s="12">
        <v>43555</v>
      </c>
      <c r="AB244" s="11">
        <v>43571</v>
      </c>
      <c r="AC244" s="12">
        <v>43565</v>
      </c>
      <c r="AD244" s="34"/>
      <c r="AE244" s="33">
        <f t="shared" si="37"/>
        <v>43530</v>
      </c>
      <c r="AF244" s="33">
        <f t="shared" si="38"/>
        <v>43567</v>
      </c>
      <c r="AG244" s="33">
        <f t="shared" si="39"/>
        <v>43745</v>
      </c>
      <c r="AH244">
        <v>305</v>
      </c>
      <c r="AK244" s="36" t="str">
        <f t="shared" si="33"/>
        <v/>
      </c>
      <c r="AL244" t="str">
        <f t="shared" si="40"/>
        <v/>
      </c>
      <c r="AM244">
        <v>4</v>
      </c>
      <c r="AN244">
        <f t="shared" si="34"/>
        <v>215</v>
      </c>
      <c r="AO244" t="str">
        <f t="shared" si="35"/>
        <v>6.3.---12.4.---7.10.</v>
      </c>
      <c r="AP244" t="str">
        <f t="shared" si="36"/>
        <v>Tunturikiuru</v>
      </c>
      <c r="AQ244" t="str">
        <f t="shared" si="41"/>
        <v>(6.3.---12.4.---7.10., 4/21)</v>
      </c>
    </row>
    <row r="245" spans="1:43" x14ac:dyDescent="0.2">
      <c r="A245" s="1"/>
      <c r="B245" s="9">
        <f t="shared" si="32"/>
        <v>240</v>
      </c>
      <c r="C245" s="10"/>
      <c r="D245" s="9" t="s">
        <v>237</v>
      </c>
      <c r="E245" s="10"/>
      <c r="F245" s="11">
        <v>43593</v>
      </c>
      <c r="G245" s="12">
        <v>43589</v>
      </c>
      <c r="H245" s="11">
        <v>43587</v>
      </c>
      <c r="I245" s="12">
        <v>43592</v>
      </c>
      <c r="J245" s="11">
        <v>43588</v>
      </c>
      <c r="K245" s="12">
        <v>43592</v>
      </c>
      <c r="L245" s="11">
        <v>43590</v>
      </c>
      <c r="M245" s="12">
        <v>43580</v>
      </c>
      <c r="N245" s="11">
        <v>43585</v>
      </c>
      <c r="O245" s="12">
        <v>43587</v>
      </c>
      <c r="P245" s="11">
        <v>43596</v>
      </c>
      <c r="Q245" s="12">
        <v>43592</v>
      </c>
      <c r="R245" s="11">
        <v>43590</v>
      </c>
      <c r="S245" s="12">
        <v>43592</v>
      </c>
      <c r="T245" s="11">
        <v>43585</v>
      </c>
      <c r="U245" s="12">
        <v>43588</v>
      </c>
      <c r="V245" s="11">
        <v>43588</v>
      </c>
      <c r="W245" s="12">
        <v>43591</v>
      </c>
      <c r="X245" s="11">
        <v>43590</v>
      </c>
      <c r="Y245" s="12">
        <v>43594</v>
      </c>
      <c r="Z245" s="11">
        <v>43588</v>
      </c>
      <c r="AA245" s="12">
        <v>43596</v>
      </c>
      <c r="AB245" s="11">
        <v>43591</v>
      </c>
      <c r="AC245" s="12">
        <v>43585</v>
      </c>
      <c r="AD245" s="34"/>
      <c r="AE245" s="33">
        <f t="shared" si="37"/>
        <v>43580</v>
      </c>
      <c r="AF245" s="33">
        <f t="shared" si="38"/>
        <v>43590</v>
      </c>
      <c r="AG245" s="33">
        <f t="shared" si="39"/>
        <v>43596</v>
      </c>
      <c r="AH245">
        <v>306</v>
      </c>
      <c r="AK245" s="36" t="str">
        <f t="shared" si="33"/>
        <v/>
      </c>
      <c r="AL245" t="str">
        <f t="shared" si="40"/>
        <v/>
      </c>
      <c r="AM245" t="s">
        <v>393</v>
      </c>
      <c r="AN245">
        <f t="shared" si="34"/>
        <v>16</v>
      </c>
      <c r="AO245" t="str">
        <f t="shared" si="35"/>
        <v>25.4.---5.5.---11.5.</v>
      </c>
      <c r="AP245" t="str">
        <f t="shared" si="36"/>
        <v>Törmäpääsky</v>
      </c>
      <c r="AQ245" t="str">
        <f t="shared" si="41"/>
        <v>(25.4.---5.5.---11.5.)</v>
      </c>
    </row>
    <row r="246" spans="1:43" x14ac:dyDescent="0.2">
      <c r="A246" s="1"/>
      <c r="B246" s="9">
        <f t="shared" si="32"/>
        <v>241</v>
      </c>
      <c r="C246" s="10"/>
      <c r="D246" s="9" t="s">
        <v>238</v>
      </c>
      <c r="E246" s="10"/>
      <c r="F246" s="11">
        <v>43573</v>
      </c>
      <c r="G246" s="12">
        <v>43582</v>
      </c>
      <c r="H246" s="11">
        <v>43578</v>
      </c>
      <c r="I246" s="12">
        <v>43586</v>
      </c>
      <c r="J246" s="11">
        <v>43571</v>
      </c>
      <c r="K246" s="12">
        <v>43582</v>
      </c>
      <c r="L246" s="11">
        <v>43579</v>
      </c>
      <c r="M246" s="12">
        <v>43572</v>
      </c>
      <c r="N246" s="11">
        <v>43580</v>
      </c>
      <c r="O246" s="12">
        <v>43580</v>
      </c>
      <c r="P246" s="11">
        <v>43580</v>
      </c>
      <c r="Q246" s="12">
        <v>43572</v>
      </c>
      <c r="R246" s="11">
        <v>43578</v>
      </c>
      <c r="S246" s="12">
        <v>43572</v>
      </c>
      <c r="T246" s="11">
        <v>43575</v>
      </c>
      <c r="U246" s="12">
        <v>43573</v>
      </c>
      <c r="V246" s="11">
        <v>43573</v>
      </c>
      <c r="W246" s="12">
        <v>43575</v>
      </c>
      <c r="X246" s="11">
        <v>43570</v>
      </c>
      <c r="Y246" s="12">
        <v>43576</v>
      </c>
      <c r="Z246" s="11">
        <v>43575</v>
      </c>
      <c r="AA246" s="12">
        <v>43583</v>
      </c>
      <c r="AB246" s="11">
        <v>43586</v>
      </c>
      <c r="AC246" s="12">
        <v>43571</v>
      </c>
      <c r="AD246" s="34"/>
      <c r="AE246" s="33">
        <f t="shared" si="37"/>
        <v>43570</v>
      </c>
      <c r="AF246" s="33">
        <f t="shared" si="38"/>
        <v>43575</v>
      </c>
      <c r="AG246" s="33">
        <f t="shared" si="39"/>
        <v>43586</v>
      </c>
      <c r="AH246">
        <v>308</v>
      </c>
      <c r="AK246" s="36" t="str">
        <f t="shared" si="33"/>
        <v/>
      </c>
      <c r="AL246" t="str">
        <f t="shared" si="40"/>
        <v/>
      </c>
      <c r="AM246" t="s">
        <v>393</v>
      </c>
      <c r="AN246">
        <f t="shared" si="34"/>
        <v>16</v>
      </c>
      <c r="AO246" t="str">
        <f t="shared" si="35"/>
        <v>15.4.---20.4.---1.5.</v>
      </c>
      <c r="AP246" t="str">
        <f t="shared" si="36"/>
        <v>Haarapääsky</v>
      </c>
      <c r="AQ246" t="str">
        <f t="shared" si="41"/>
        <v>(15.4.---20.4.---1.5.)</v>
      </c>
    </row>
    <row r="247" spans="1:43" x14ac:dyDescent="0.2">
      <c r="A247" s="1"/>
      <c r="B247" s="9">
        <f t="shared" si="32"/>
        <v>242</v>
      </c>
      <c r="C247" s="10"/>
      <c r="D247" s="9" t="s">
        <v>239</v>
      </c>
      <c r="E247" s="10"/>
      <c r="F247" s="11">
        <v>43588</v>
      </c>
      <c r="G247" s="12">
        <v>43584</v>
      </c>
      <c r="H247" s="11">
        <v>43588</v>
      </c>
      <c r="I247" s="12">
        <v>43578</v>
      </c>
      <c r="J247" s="11">
        <v>43586</v>
      </c>
      <c r="K247" s="12">
        <v>43588</v>
      </c>
      <c r="L247" s="11">
        <v>43583</v>
      </c>
      <c r="M247" s="12">
        <v>43583</v>
      </c>
      <c r="N247" s="11">
        <v>43581</v>
      </c>
      <c r="O247" s="12">
        <v>43581</v>
      </c>
      <c r="P247" s="11">
        <v>43585</v>
      </c>
      <c r="Q247" s="12">
        <v>43578</v>
      </c>
      <c r="R247" s="11">
        <v>43578</v>
      </c>
      <c r="S247" s="12">
        <v>43588</v>
      </c>
      <c r="T247" s="11">
        <v>43575</v>
      </c>
      <c r="U247" s="12">
        <v>43584</v>
      </c>
      <c r="V247" s="11">
        <v>43585</v>
      </c>
      <c r="W247" s="12">
        <v>43588</v>
      </c>
      <c r="X247" s="11">
        <v>43590</v>
      </c>
      <c r="Y247" s="12">
        <v>43583</v>
      </c>
      <c r="Z247" s="11">
        <v>43586</v>
      </c>
      <c r="AA247" s="12">
        <v>43588</v>
      </c>
      <c r="AB247" s="11">
        <v>43587</v>
      </c>
      <c r="AC247" s="12">
        <v>43585</v>
      </c>
      <c r="AD247" s="34"/>
      <c r="AE247" s="33">
        <f t="shared" si="37"/>
        <v>43575</v>
      </c>
      <c r="AF247" s="33">
        <f t="shared" si="38"/>
        <v>43584</v>
      </c>
      <c r="AG247" s="33">
        <f t="shared" si="39"/>
        <v>43590</v>
      </c>
      <c r="AH247">
        <v>309</v>
      </c>
      <c r="AK247" s="36" t="str">
        <f t="shared" si="33"/>
        <v/>
      </c>
      <c r="AL247" t="str">
        <f t="shared" si="40"/>
        <v/>
      </c>
      <c r="AM247" t="s">
        <v>393</v>
      </c>
      <c r="AN247">
        <f t="shared" si="34"/>
        <v>15</v>
      </c>
      <c r="AO247" t="str">
        <f t="shared" si="35"/>
        <v>20.4.---29.4.---5.5.</v>
      </c>
      <c r="AP247" t="str">
        <f t="shared" si="36"/>
        <v>Räystäspääsky</v>
      </c>
      <c r="AQ247" t="str">
        <f t="shared" si="41"/>
        <v>(20.4.---29.4.---5.5.)</v>
      </c>
    </row>
    <row r="248" spans="1:43" x14ac:dyDescent="0.2">
      <c r="A248" s="1"/>
      <c r="B248" s="9">
        <f t="shared" si="32"/>
        <v>243</v>
      </c>
      <c r="C248" s="10"/>
      <c r="D248" s="15" t="s">
        <v>240</v>
      </c>
      <c r="E248" s="16"/>
      <c r="F248" s="11"/>
      <c r="G248" s="12"/>
      <c r="H248" s="11"/>
      <c r="I248" s="12"/>
      <c r="J248" s="11">
        <v>43612</v>
      </c>
      <c r="K248" s="12"/>
      <c r="L248" s="11"/>
      <c r="M248" s="12">
        <v>43594</v>
      </c>
      <c r="N248" s="11"/>
      <c r="O248" s="12"/>
      <c r="P248" s="11"/>
      <c r="Q248" s="12"/>
      <c r="R248" s="11"/>
      <c r="S248" s="12">
        <v>43595</v>
      </c>
      <c r="T248" s="11">
        <v>43604</v>
      </c>
      <c r="U248" s="12">
        <v>43609</v>
      </c>
      <c r="V248" s="11"/>
      <c r="W248" s="12"/>
      <c r="X248" s="11"/>
      <c r="Y248" s="12"/>
      <c r="Z248" s="11"/>
      <c r="AA248" s="12"/>
      <c r="AB248" s="11"/>
      <c r="AC248" s="12"/>
      <c r="AD248" s="34"/>
      <c r="AE248" s="33">
        <f t="shared" si="37"/>
        <v>43594</v>
      </c>
      <c r="AF248" s="33">
        <f t="shared" si="38"/>
        <v>43604</v>
      </c>
      <c r="AG248" s="33">
        <f t="shared" si="39"/>
        <v>43612</v>
      </c>
      <c r="AH248">
        <v>310</v>
      </c>
      <c r="AK248" s="36" t="str">
        <f t="shared" si="33"/>
        <v/>
      </c>
      <c r="AL248" t="str">
        <f t="shared" si="40"/>
        <v/>
      </c>
      <c r="AM248" t="s">
        <v>393</v>
      </c>
      <c r="AN248">
        <f t="shared" si="34"/>
        <v>18</v>
      </c>
      <c r="AO248" t="str">
        <f t="shared" si="35"/>
        <v>9.5.---19.5.---27.5.</v>
      </c>
      <c r="AP248" t="str">
        <f t="shared" si="36"/>
        <v>Ruostepääsky</v>
      </c>
      <c r="AQ248" t="str">
        <f t="shared" si="41"/>
        <v>(9.5.---19.5.---27.5.)</v>
      </c>
    </row>
    <row r="249" spans="1:43" x14ac:dyDescent="0.2">
      <c r="A249" s="1"/>
      <c r="B249" s="9">
        <f t="shared" si="32"/>
        <v>244</v>
      </c>
      <c r="C249" s="10"/>
      <c r="D249" s="13" t="s">
        <v>241</v>
      </c>
      <c r="E249" s="14"/>
      <c r="F249" s="11"/>
      <c r="G249" s="12"/>
      <c r="H249" s="11"/>
      <c r="I249" s="12">
        <v>43718</v>
      </c>
      <c r="J249" s="11"/>
      <c r="K249" s="12">
        <v>43720</v>
      </c>
      <c r="L249" s="11"/>
      <c r="M249" s="12"/>
      <c r="N249" s="11"/>
      <c r="O249" s="12"/>
      <c r="P249" s="11"/>
      <c r="Q249" s="12">
        <v>43733</v>
      </c>
      <c r="R249" s="11">
        <v>43727</v>
      </c>
      <c r="S249" s="12"/>
      <c r="T249" s="11"/>
      <c r="U249" s="12">
        <v>43720</v>
      </c>
      <c r="V249" s="11"/>
      <c r="W249" s="12">
        <v>43722</v>
      </c>
      <c r="X249" s="11">
        <v>43713</v>
      </c>
      <c r="Y249" s="12"/>
      <c r="Z249" s="11">
        <v>43748</v>
      </c>
      <c r="AA249" s="12"/>
      <c r="AB249" s="11"/>
      <c r="AC249" s="12"/>
      <c r="AD249" s="34"/>
      <c r="AE249" s="33">
        <f t="shared" si="37"/>
        <v>43713</v>
      </c>
      <c r="AF249" s="33">
        <f t="shared" si="38"/>
        <v>43721</v>
      </c>
      <c r="AG249" s="33">
        <f t="shared" si="39"/>
        <v>43748</v>
      </c>
      <c r="AH249">
        <v>311</v>
      </c>
      <c r="AK249" s="36" t="str">
        <f t="shared" si="33"/>
        <v/>
      </c>
      <c r="AL249" t="str">
        <f t="shared" si="40"/>
        <v/>
      </c>
      <c r="AM249" t="s">
        <v>393</v>
      </c>
      <c r="AN249">
        <f t="shared" si="34"/>
        <v>35</v>
      </c>
      <c r="AO249" t="str">
        <f t="shared" si="35"/>
        <v>5.9.---13.9.---10.10.</v>
      </c>
      <c r="AP249" t="str">
        <f t="shared" si="36"/>
        <v>Isokirvinen</v>
      </c>
      <c r="AQ249" t="str">
        <f t="shared" si="41"/>
        <v>(5.9.---13.9.---10.10.)</v>
      </c>
    </row>
    <row r="250" spans="1:43" x14ac:dyDescent="0.2">
      <c r="A250" s="1"/>
      <c r="B250" s="9">
        <f t="shared" si="32"/>
        <v>245</v>
      </c>
      <c r="C250" s="10"/>
      <c r="D250" s="15" t="s">
        <v>242</v>
      </c>
      <c r="E250" s="16"/>
      <c r="F250" s="11"/>
      <c r="G250" s="12"/>
      <c r="H250" s="11"/>
      <c r="I250" s="12"/>
      <c r="J250" s="11"/>
      <c r="K250" s="12">
        <v>43782</v>
      </c>
      <c r="L250" s="11"/>
      <c r="M250" s="12"/>
      <c r="N250" s="11"/>
      <c r="O250" s="12">
        <v>43773</v>
      </c>
      <c r="P250" s="11"/>
      <c r="Q250" s="12"/>
      <c r="R250" s="11"/>
      <c r="S250" s="12"/>
      <c r="T250" s="11"/>
      <c r="U250" s="12"/>
      <c r="V250" s="11"/>
      <c r="W250" s="12"/>
      <c r="X250" s="11"/>
      <c r="Y250" s="12"/>
      <c r="Z250" s="11"/>
      <c r="AA250" s="12"/>
      <c r="AB250" s="11"/>
      <c r="AC250" s="12"/>
      <c r="AD250" s="34"/>
      <c r="AE250" s="33">
        <f t="shared" si="37"/>
        <v>43773</v>
      </c>
      <c r="AF250" s="33">
        <f t="shared" si="38"/>
        <v>43777.5</v>
      </c>
      <c r="AG250" s="33">
        <f t="shared" si="39"/>
        <v>43782</v>
      </c>
      <c r="AH250">
        <v>312</v>
      </c>
      <c r="AK250" s="36" t="str">
        <f t="shared" si="33"/>
        <v/>
      </c>
      <c r="AL250" t="str">
        <f t="shared" si="40"/>
        <v/>
      </c>
      <c r="AM250" t="s">
        <v>393</v>
      </c>
      <c r="AN250">
        <f t="shared" si="34"/>
        <v>9</v>
      </c>
      <c r="AO250" t="str">
        <f t="shared" si="35"/>
        <v>4.11.---8.11.---13.11.</v>
      </c>
      <c r="AP250" t="str">
        <f t="shared" si="36"/>
        <v>Mongoliankirvinen</v>
      </c>
      <c r="AQ250" t="str">
        <f t="shared" si="41"/>
        <v>(4.11.---8.11.---13.11.)</v>
      </c>
    </row>
    <row r="251" spans="1:43" x14ac:dyDescent="0.2">
      <c r="A251" s="1"/>
      <c r="B251" s="9">
        <f t="shared" si="32"/>
        <v>246</v>
      </c>
      <c r="C251" s="10"/>
      <c r="D251" s="15" t="s">
        <v>243</v>
      </c>
      <c r="E251" s="16"/>
      <c r="F251" s="11"/>
      <c r="G251" s="12"/>
      <c r="H251" s="11"/>
      <c r="I251" s="12"/>
      <c r="J251" s="11"/>
      <c r="K251" s="12"/>
      <c r="L251" s="11"/>
      <c r="M251" s="12"/>
      <c r="N251" s="11"/>
      <c r="O251" s="12"/>
      <c r="P251" s="11"/>
      <c r="Q251" s="12"/>
      <c r="R251" s="11"/>
      <c r="S251" s="12"/>
      <c r="T251" s="11"/>
      <c r="U251" s="12"/>
      <c r="V251" s="11"/>
      <c r="W251" s="12"/>
      <c r="X251" s="11"/>
      <c r="Y251" s="12"/>
      <c r="Z251" s="11"/>
      <c r="AA251" s="12"/>
      <c r="AB251" s="11"/>
      <c r="AC251" s="12"/>
      <c r="AD251" s="34"/>
      <c r="AE251" s="33" t="str">
        <f t="shared" si="37"/>
        <v/>
      </c>
      <c r="AF251" s="33" t="str">
        <f t="shared" si="38"/>
        <v/>
      </c>
      <c r="AG251" s="33" t="str">
        <f t="shared" si="39"/>
        <v/>
      </c>
      <c r="AH251">
        <v>313</v>
      </c>
      <c r="AK251" s="36" t="str">
        <f t="shared" si="33"/>
        <v/>
      </c>
      <c r="AL251" t="str">
        <f t="shared" si="40"/>
        <v/>
      </c>
      <c r="AM251" t="s">
        <v>393</v>
      </c>
      <c r="AN251" t="e">
        <f t="shared" si="34"/>
        <v>#VALUE!</v>
      </c>
      <c r="AO251" t="str">
        <f t="shared" si="35"/>
        <v>------</v>
      </c>
      <c r="AP251" t="str">
        <f t="shared" si="36"/>
        <v>Nummikirvinen</v>
      </c>
      <c r="AQ251" t="str">
        <f t="shared" si="41"/>
        <v>(------)</v>
      </c>
    </row>
    <row r="252" spans="1:43" x14ac:dyDescent="0.2">
      <c r="A252" s="1"/>
      <c r="B252" s="9"/>
      <c r="C252" s="10"/>
      <c r="D252" s="22" t="s">
        <v>244</v>
      </c>
      <c r="E252" s="16" t="s">
        <v>245</v>
      </c>
      <c r="F252" s="11"/>
      <c r="G252" s="12"/>
      <c r="H252" s="11"/>
      <c r="I252" s="12"/>
      <c r="J252" s="11"/>
      <c r="K252" s="12"/>
      <c r="L252" s="11"/>
      <c r="M252" s="12"/>
      <c r="N252" s="11"/>
      <c r="O252" s="12"/>
      <c r="P252" s="11"/>
      <c r="Q252" s="12"/>
      <c r="R252" s="11"/>
      <c r="S252" s="12"/>
      <c r="T252" s="11"/>
      <c r="U252" s="12"/>
      <c r="V252" s="11"/>
      <c r="W252" s="12"/>
      <c r="X252" s="11"/>
      <c r="Y252" s="12"/>
      <c r="Z252" s="11"/>
      <c r="AA252" s="12"/>
      <c r="AB252" s="11">
        <v>43718</v>
      </c>
      <c r="AC252" s="12"/>
      <c r="AD252" s="34"/>
      <c r="AE252" s="33" t="str">
        <f t="shared" si="37"/>
        <v/>
      </c>
      <c r="AF252" s="33" t="str">
        <f t="shared" si="38"/>
        <v/>
      </c>
      <c r="AG252" s="33" t="str">
        <f t="shared" si="39"/>
        <v/>
      </c>
      <c r="AH252">
        <v>313.10000000000002</v>
      </c>
      <c r="AK252" s="36" t="str">
        <f t="shared" si="33"/>
        <v/>
      </c>
      <c r="AL252" t="str">
        <f t="shared" si="40"/>
        <v/>
      </c>
      <c r="AM252" t="s">
        <v>393</v>
      </c>
      <c r="AN252" t="e">
        <f t="shared" si="34"/>
        <v>#VALUE!</v>
      </c>
      <c r="AO252" t="str">
        <f t="shared" si="35"/>
        <v>------</v>
      </c>
      <c r="AP252" t="str">
        <f t="shared" si="36"/>
        <v>isokirvinen / mongoliankirvinen / nummikirvinen</v>
      </c>
      <c r="AQ252" t="str">
        <f t="shared" si="41"/>
        <v>(------)</v>
      </c>
    </row>
    <row r="253" spans="1:43" x14ac:dyDescent="0.2">
      <c r="A253" s="1"/>
      <c r="B253" s="9">
        <f>B251+1</f>
        <v>247</v>
      </c>
      <c r="C253" s="10"/>
      <c r="D253" s="15" t="s">
        <v>246</v>
      </c>
      <c r="E253" s="16"/>
      <c r="F253" s="11"/>
      <c r="G253" s="12"/>
      <c r="H253" s="11"/>
      <c r="I253" s="12"/>
      <c r="J253" s="11"/>
      <c r="K253" s="12"/>
      <c r="L253" s="11"/>
      <c r="M253" s="12"/>
      <c r="N253" s="11">
        <v>43740</v>
      </c>
      <c r="O253" s="12">
        <v>43728</v>
      </c>
      <c r="P253" s="11">
        <v>43744</v>
      </c>
      <c r="Q253" s="12">
        <v>43737</v>
      </c>
      <c r="R253" s="11"/>
      <c r="S253" s="12">
        <v>43745</v>
      </c>
      <c r="T253" s="11">
        <v>43717</v>
      </c>
      <c r="U253" s="12">
        <v>43748</v>
      </c>
      <c r="V253" s="11">
        <v>43719</v>
      </c>
      <c r="W253" s="12">
        <v>43739</v>
      </c>
      <c r="X253" s="11"/>
      <c r="Y253" s="12">
        <v>43737</v>
      </c>
      <c r="Z253" s="11"/>
      <c r="AA253" s="12">
        <v>43736</v>
      </c>
      <c r="AB253" s="11"/>
      <c r="AC253" s="12"/>
      <c r="AD253" s="34"/>
      <c r="AE253" s="33">
        <f t="shared" si="37"/>
        <v>43717</v>
      </c>
      <c r="AF253" s="33">
        <f t="shared" si="38"/>
        <v>43738</v>
      </c>
      <c r="AG253" s="33">
        <f t="shared" si="39"/>
        <v>43748</v>
      </c>
      <c r="AH253">
        <v>314</v>
      </c>
      <c r="AK253" s="36" t="str">
        <f t="shared" si="33"/>
        <v/>
      </c>
      <c r="AL253" t="str">
        <f t="shared" si="40"/>
        <v/>
      </c>
      <c r="AM253" t="s">
        <v>393</v>
      </c>
      <c r="AN253">
        <f t="shared" si="34"/>
        <v>31</v>
      </c>
      <c r="AO253" t="str">
        <f t="shared" si="35"/>
        <v>9.9.---30.9.---10.10.</v>
      </c>
      <c r="AP253" t="str">
        <f t="shared" si="36"/>
        <v>Taigakirvinen</v>
      </c>
      <c r="AQ253" t="str">
        <f t="shared" si="41"/>
        <v>(9.9.---30.9.---10.10.)</v>
      </c>
    </row>
    <row r="254" spans="1:43" x14ac:dyDescent="0.2">
      <c r="A254" s="1"/>
      <c r="B254" s="9">
        <f t="shared" ref="B254:B317" si="42">B253+1</f>
        <v>248</v>
      </c>
      <c r="C254" s="10"/>
      <c r="D254" s="9" t="s">
        <v>247</v>
      </c>
      <c r="E254" s="10"/>
      <c r="F254" s="11">
        <v>43574</v>
      </c>
      <c r="G254" s="12">
        <v>43582</v>
      </c>
      <c r="H254" s="11">
        <v>43580</v>
      </c>
      <c r="I254" s="12">
        <v>43577</v>
      </c>
      <c r="J254" s="11">
        <v>43578</v>
      </c>
      <c r="K254" s="12">
        <v>43572</v>
      </c>
      <c r="L254" s="11">
        <v>43577</v>
      </c>
      <c r="M254" s="12">
        <v>43570</v>
      </c>
      <c r="N254" s="11">
        <v>43578</v>
      </c>
      <c r="O254" s="12">
        <v>43581</v>
      </c>
      <c r="P254" s="11">
        <v>43573</v>
      </c>
      <c r="Q254" s="12">
        <v>43574</v>
      </c>
      <c r="R254" s="11">
        <v>43578</v>
      </c>
      <c r="S254" s="12">
        <v>43577</v>
      </c>
      <c r="T254" s="11">
        <v>43571</v>
      </c>
      <c r="U254" s="12">
        <v>43574</v>
      </c>
      <c r="V254" s="11">
        <v>43573</v>
      </c>
      <c r="W254" s="12">
        <v>43587</v>
      </c>
      <c r="X254" s="11">
        <v>43570</v>
      </c>
      <c r="Y254" s="12">
        <v>43576</v>
      </c>
      <c r="Z254" s="11">
        <v>43574</v>
      </c>
      <c r="AA254" s="12">
        <v>43576</v>
      </c>
      <c r="AB254" s="11">
        <v>43590</v>
      </c>
      <c r="AC254" s="12">
        <v>43570</v>
      </c>
      <c r="AD254" s="34"/>
      <c r="AE254" s="33">
        <f t="shared" si="37"/>
        <v>43570</v>
      </c>
      <c r="AF254" s="33">
        <f t="shared" si="38"/>
        <v>43576</v>
      </c>
      <c r="AG254" s="33">
        <f t="shared" si="39"/>
        <v>43587</v>
      </c>
      <c r="AH254">
        <v>315</v>
      </c>
      <c r="AK254" s="36" t="str">
        <f t="shared" si="33"/>
        <v/>
      </c>
      <c r="AL254" t="str">
        <f t="shared" si="40"/>
        <v/>
      </c>
      <c r="AM254" t="s">
        <v>393</v>
      </c>
      <c r="AN254">
        <f t="shared" si="34"/>
        <v>17</v>
      </c>
      <c r="AO254" t="str">
        <f t="shared" si="35"/>
        <v>15.4.---21.4.---2.5.</v>
      </c>
      <c r="AP254" t="str">
        <f t="shared" si="36"/>
        <v>Metsäkirvinen</v>
      </c>
      <c r="AQ254" t="str">
        <f t="shared" si="41"/>
        <v>(15.4.---21.4.---2.5.)</v>
      </c>
    </row>
    <row r="255" spans="1:43" x14ac:dyDescent="0.2">
      <c r="A255" s="1"/>
      <c r="B255" s="9">
        <f t="shared" si="42"/>
        <v>249</v>
      </c>
      <c r="C255" s="10"/>
      <c r="D255" s="9" t="s">
        <v>248</v>
      </c>
      <c r="E255" s="10"/>
      <c r="F255" s="11">
        <v>43563</v>
      </c>
      <c r="G255" s="12">
        <v>43557</v>
      </c>
      <c r="H255" s="11">
        <v>43553</v>
      </c>
      <c r="I255" s="12">
        <v>43553</v>
      </c>
      <c r="J255" s="11">
        <v>43562</v>
      </c>
      <c r="K255" s="12">
        <v>43559</v>
      </c>
      <c r="L255" s="11">
        <v>43563</v>
      </c>
      <c r="M255" s="12">
        <v>43549</v>
      </c>
      <c r="N255" s="11">
        <f>IF(AG1,DATE(2019,1,15),DATE(2019,4,2))</f>
        <v>43557</v>
      </c>
      <c r="O255" s="12">
        <v>43562</v>
      </c>
      <c r="P255" s="11">
        <v>43561</v>
      </c>
      <c r="Q255" s="12">
        <v>43567</v>
      </c>
      <c r="R255" s="11">
        <v>43564</v>
      </c>
      <c r="S255" s="12">
        <v>43571</v>
      </c>
      <c r="T255" s="11">
        <v>43553</v>
      </c>
      <c r="U255" s="12">
        <v>43560</v>
      </c>
      <c r="V255" s="11">
        <v>43551</v>
      </c>
      <c r="W255" s="12">
        <v>43559</v>
      </c>
      <c r="X255" s="11">
        <v>43565</v>
      </c>
      <c r="Y255" s="12">
        <v>43558</v>
      </c>
      <c r="Z255" s="11">
        <v>43550</v>
      </c>
      <c r="AA255" s="12">
        <v>43557</v>
      </c>
      <c r="AB255" s="11">
        <v>43564</v>
      </c>
      <c r="AC255" s="12">
        <v>43563</v>
      </c>
      <c r="AD255" s="34"/>
      <c r="AE255" s="33">
        <f t="shared" si="37"/>
        <v>43549</v>
      </c>
      <c r="AF255" s="33">
        <f t="shared" si="38"/>
        <v>43559</v>
      </c>
      <c r="AG255" s="33">
        <f t="shared" si="39"/>
        <v>43571</v>
      </c>
      <c r="AH255">
        <v>317</v>
      </c>
      <c r="AK255" s="36" t="str">
        <f t="shared" si="33"/>
        <v/>
      </c>
      <c r="AL255" t="str">
        <f t="shared" si="40"/>
        <v/>
      </c>
      <c r="AM255">
        <v>1</v>
      </c>
      <c r="AN255">
        <f t="shared" si="34"/>
        <v>22</v>
      </c>
      <c r="AO255" t="str">
        <f t="shared" si="35"/>
        <v>25.3.---4.4.---16.4.</v>
      </c>
      <c r="AP255" t="str">
        <f t="shared" si="36"/>
        <v>Niittykirvinen</v>
      </c>
      <c r="AQ255" t="str">
        <f t="shared" si="41"/>
        <v>(25.3.---4.4.---16.4., 1/21)</v>
      </c>
    </row>
    <row r="256" spans="1:43" x14ac:dyDescent="0.2">
      <c r="A256" s="1"/>
      <c r="B256" s="9">
        <f t="shared" si="42"/>
        <v>250</v>
      </c>
      <c r="C256" s="10"/>
      <c r="D256" s="9" t="s">
        <v>249</v>
      </c>
      <c r="E256" s="10"/>
      <c r="F256" s="11">
        <v>43599</v>
      </c>
      <c r="G256" s="12">
        <v>43600</v>
      </c>
      <c r="H256" s="11">
        <v>43598</v>
      </c>
      <c r="I256" s="12">
        <v>43596</v>
      </c>
      <c r="J256" s="11">
        <v>43604</v>
      </c>
      <c r="K256" s="12">
        <v>43601</v>
      </c>
      <c r="L256" s="11">
        <v>43591</v>
      </c>
      <c r="M256" s="12">
        <v>43597</v>
      </c>
      <c r="N256" s="11">
        <v>43595</v>
      </c>
      <c r="O256" s="12">
        <v>43598</v>
      </c>
      <c r="P256" s="11">
        <v>43598</v>
      </c>
      <c r="Q256" s="12">
        <v>43592</v>
      </c>
      <c r="R256" s="11">
        <v>43598</v>
      </c>
      <c r="S256" s="12">
        <v>43599</v>
      </c>
      <c r="T256" s="11">
        <v>43597</v>
      </c>
      <c r="U256" s="12">
        <v>43593</v>
      </c>
      <c r="V256" s="11">
        <v>43597</v>
      </c>
      <c r="W256" s="12">
        <v>43595</v>
      </c>
      <c r="X256" s="11">
        <v>43595</v>
      </c>
      <c r="Y256" s="12">
        <v>43592</v>
      </c>
      <c r="Z256" s="11">
        <v>43598</v>
      </c>
      <c r="AA256" s="12">
        <v>43600</v>
      </c>
      <c r="AB256" s="11">
        <v>43609</v>
      </c>
      <c r="AC256" s="12">
        <v>43601</v>
      </c>
      <c r="AD256" s="34"/>
      <c r="AE256" s="33">
        <f t="shared" si="37"/>
        <v>43591</v>
      </c>
      <c r="AF256" s="33">
        <f t="shared" si="38"/>
        <v>43597</v>
      </c>
      <c r="AG256" s="33">
        <f t="shared" si="39"/>
        <v>43604</v>
      </c>
      <c r="AH256">
        <v>318</v>
      </c>
      <c r="AK256" s="36" t="str">
        <f t="shared" si="33"/>
        <v/>
      </c>
      <c r="AL256" t="str">
        <f t="shared" si="40"/>
        <v/>
      </c>
      <c r="AM256" t="s">
        <v>393</v>
      </c>
      <c r="AN256">
        <f t="shared" si="34"/>
        <v>13</v>
      </c>
      <c r="AO256" t="str">
        <f t="shared" si="35"/>
        <v>6.5.---12.5.---19.5.</v>
      </c>
      <c r="AP256" t="str">
        <f t="shared" si="36"/>
        <v>Lapinkirvinen</v>
      </c>
      <c r="AQ256" t="str">
        <f t="shared" si="41"/>
        <v>(6.5.---12.5.---19.5.)</v>
      </c>
    </row>
    <row r="257" spans="1:43" x14ac:dyDescent="0.2">
      <c r="A257" s="1"/>
      <c r="B257" s="9">
        <f t="shared" si="42"/>
        <v>251</v>
      </c>
      <c r="C257" s="10"/>
      <c r="D257" s="9" t="s">
        <v>250</v>
      </c>
      <c r="E257" s="10"/>
      <c r="F257" s="11">
        <v>43562</v>
      </c>
      <c r="G257" s="12">
        <v>43557</v>
      </c>
      <c r="H257" s="11">
        <v>43551</v>
      </c>
      <c r="I257" s="12">
        <v>43556</v>
      </c>
      <c r="J257" s="11">
        <v>43554</v>
      </c>
      <c r="K257" s="12">
        <v>43557</v>
      </c>
      <c r="L257" s="11">
        <v>43564</v>
      </c>
      <c r="M257" s="12">
        <v>43554</v>
      </c>
      <c r="N257" s="11"/>
      <c r="O257" s="12">
        <v>43561</v>
      </c>
      <c r="P257" s="11">
        <v>43599</v>
      </c>
      <c r="Q257" s="12"/>
      <c r="R257" s="11">
        <v>43552</v>
      </c>
      <c r="S257" s="12">
        <v>43566</v>
      </c>
      <c r="T257" s="11">
        <v>43562</v>
      </c>
      <c r="U257" s="12">
        <v>43559</v>
      </c>
      <c r="V257" s="11">
        <v>43565</v>
      </c>
      <c r="W257" s="12">
        <v>43577</v>
      </c>
      <c r="X257" s="11">
        <v>43568</v>
      </c>
      <c r="Y257" s="12">
        <v>43567</v>
      </c>
      <c r="Z257" s="11">
        <v>43543</v>
      </c>
      <c r="AA257" s="12">
        <v>43552</v>
      </c>
      <c r="AB257" s="11">
        <v>43543</v>
      </c>
      <c r="AC257" s="12">
        <v>43565</v>
      </c>
      <c r="AD257" s="34"/>
      <c r="AE257" s="33">
        <f t="shared" si="37"/>
        <v>43543</v>
      </c>
      <c r="AF257" s="33">
        <f t="shared" si="38"/>
        <v>43561</v>
      </c>
      <c r="AG257" s="33">
        <f t="shared" si="39"/>
        <v>43599</v>
      </c>
      <c r="AH257">
        <v>319</v>
      </c>
      <c r="AK257" s="36" t="str">
        <f t="shared" si="33"/>
        <v/>
      </c>
      <c r="AL257" t="str">
        <f t="shared" si="40"/>
        <v/>
      </c>
      <c r="AM257" t="s">
        <v>393</v>
      </c>
      <c r="AN257">
        <f t="shared" si="34"/>
        <v>56</v>
      </c>
      <c r="AO257" t="str">
        <f t="shared" si="35"/>
        <v>19.3.---6.4.---14.5.</v>
      </c>
      <c r="AP257" t="str">
        <f t="shared" si="36"/>
        <v>Luotokirvinen</v>
      </c>
      <c r="AQ257" t="str">
        <f t="shared" si="41"/>
        <v>(19.3.---6.4.---14.5.)</v>
      </c>
    </row>
    <row r="258" spans="1:43" x14ac:dyDescent="0.2">
      <c r="A258" s="1"/>
      <c r="B258" s="9">
        <f t="shared" si="42"/>
        <v>252</v>
      </c>
      <c r="C258" s="10"/>
      <c r="D258" s="9" t="s">
        <v>251</v>
      </c>
      <c r="E258" s="10"/>
      <c r="F258" s="11">
        <v>43584</v>
      </c>
      <c r="G258" s="12">
        <v>43578</v>
      </c>
      <c r="H258" s="11">
        <v>43582</v>
      </c>
      <c r="I258" s="12">
        <v>43588</v>
      </c>
      <c r="J258" s="11">
        <v>43587</v>
      </c>
      <c r="K258" s="12">
        <v>43583</v>
      </c>
      <c r="L258" s="11">
        <v>43587</v>
      </c>
      <c r="M258" s="12">
        <v>43580</v>
      </c>
      <c r="N258" s="11">
        <v>43585</v>
      </c>
      <c r="O258" s="12">
        <v>43584</v>
      </c>
      <c r="P258" s="11">
        <v>43587</v>
      </c>
      <c r="Q258" s="12">
        <v>43581</v>
      </c>
      <c r="R258" s="11">
        <v>43583</v>
      </c>
      <c r="S258" s="12">
        <v>43584</v>
      </c>
      <c r="T258" s="11">
        <v>43582</v>
      </c>
      <c r="U258" s="12">
        <v>43584</v>
      </c>
      <c r="V258" s="11">
        <v>43577</v>
      </c>
      <c r="W258" s="12">
        <v>43578</v>
      </c>
      <c r="X258" s="11">
        <v>43589</v>
      </c>
      <c r="Y258" s="12">
        <v>43582</v>
      </c>
      <c r="Z258" s="11">
        <v>43585</v>
      </c>
      <c r="AA258" s="12">
        <v>43589</v>
      </c>
      <c r="AB258" s="11">
        <v>43590</v>
      </c>
      <c r="AC258" s="12">
        <v>43580</v>
      </c>
      <c r="AD258" s="34"/>
      <c r="AE258" s="33">
        <f t="shared" si="37"/>
        <v>43577</v>
      </c>
      <c r="AF258" s="33">
        <f t="shared" si="38"/>
        <v>43584</v>
      </c>
      <c r="AG258" s="33">
        <f t="shared" si="39"/>
        <v>43589</v>
      </c>
      <c r="AH258">
        <v>320</v>
      </c>
      <c r="AK258" s="36" t="str">
        <f t="shared" si="33"/>
        <v/>
      </c>
      <c r="AL258" t="str">
        <f t="shared" si="40"/>
        <v/>
      </c>
      <c r="AM258" t="s">
        <v>393</v>
      </c>
      <c r="AN258">
        <f t="shared" si="34"/>
        <v>12</v>
      </c>
      <c r="AO258" t="str">
        <f t="shared" si="35"/>
        <v>22.4.---29.4.---4.5.</v>
      </c>
      <c r="AP258" t="str">
        <f t="shared" si="36"/>
        <v>Keltavästäräkki</v>
      </c>
      <c r="AQ258" t="str">
        <f t="shared" si="41"/>
        <v>(22.4.---29.4.---4.5.)</v>
      </c>
    </row>
    <row r="259" spans="1:43" x14ac:dyDescent="0.2">
      <c r="A259" s="1"/>
      <c r="B259" s="9">
        <f t="shared" si="42"/>
        <v>253</v>
      </c>
      <c r="C259" s="10"/>
      <c r="D259" s="13" t="s">
        <v>252</v>
      </c>
      <c r="E259" s="14"/>
      <c r="F259" s="11"/>
      <c r="G259" s="12"/>
      <c r="H259" s="11"/>
      <c r="I259" s="12">
        <v>43597</v>
      </c>
      <c r="J259" s="11">
        <v>43582</v>
      </c>
      <c r="K259" s="12">
        <v>43593</v>
      </c>
      <c r="L259" s="11">
        <v>43582</v>
      </c>
      <c r="M259" s="12">
        <v>43618</v>
      </c>
      <c r="N259" s="11">
        <v>43630</v>
      </c>
      <c r="O259" s="12">
        <v>43720</v>
      </c>
      <c r="P259" s="11">
        <v>43614</v>
      </c>
      <c r="Q259" s="12">
        <v>43596</v>
      </c>
      <c r="R259" s="11">
        <v>43578</v>
      </c>
      <c r="S259" s="12">
        <v>43593</v>
      </c>
      <c r="T259" s="11">
        <v>43613</v>
      </c>
      <c r="U259" s="12">
        <v>43660</v>
      </c>
      <c r="V259" s="11">
        <v>43603</v>
      </c>
      <c r="W259" s="12">
        <v>43637</v>
      </c>
      <c r="X259" s="11"/>
      <c r="Y259" s="12">
        <v>43582</v>
      </c>
      <c r="Z259" s="11">
        <v>43586</v>
      </c>
      <c r="AA259" s="12">
        <v>43599</v>
      </c>
      <c r="AB259" s="11">
        <v>43607</v>
      </c>
      <c r="AC259" s="12">
        <v>43654</v>
      </c>
      <c r="AD259" s="34"/>
      <c r="AE259" s="33">
        <f t="shared" si="37"/>
        <v>43578</v>
      </c>
      <c r="AF259" s="33">
        <f t="shared" si="38"/>
        <v>43597</v>
      </c>
      <c r="AG259" s="33">
        <f t="shared" si="39"/>
        <v>43720</v>
      </c>
      <c r="AH259">
        <v>321</v>
      </c>
      <c r="AK259" s="36" t="str">
        <f t="shared" si="33"/>
        <v/>
      </c>
      <c r="AL259" t="str">
        <f t="shared" si="40"/>
        <v/>
      </c>
      <c r="AM259" t="s">
        <v>393</v>
      </c>
      <c r="AN259">
        <f t="shared" si="34"/>
        <v>142</v>
      </c>
      <c r="AO259" t="str">
        <f t="shared" si="35"/>
        <v>23.4.---12.5.---12.9.</v>
      </c>
      <c r="AP259" t="str">
        <f t="shared" si="36"/>
        <v>Sitruunavästäräkki</v>
      </c>
      <c r="AQ259" t="str">
        <f t="shared" si="41"/>
        <v>(23.4.---12.5.---12.9.)</v>
      </c>
    </row>
    <row r="260" spans="1:43" x14ac:dyDescent="0.2">
      <c r="A260" s="1"/>
      <c r="B260" s="9">
        <f t="shared" si="42"/>
        <v>254</v>
      </c>
      <c r="C260" s="10"/>
      <c r="D260" s="9" t="s">
        <v>253</v>
      </c>
      <c r="E260" s="10"/>
      <c r="F260" s="11"/>
      <c r="G260" s="12"/>
      <c r="H260" s="11"/>
      <c r="I260" s="12">
        <v>43602</v>
      </c>
      <c r="J260" s="11">
        <v>43615</v>
      </c>
      <c r="K260" s="12">
        <v>43593</v>
      </c>
      <c r="L260" s="11"/>
      <c r="M260" s="12">
        <v>43606</v>
      </c>
      <c r="N260" s="11">
        <v>43610</v>
      </c>
      <c r="O260" s="12">
        <v>43568</v>
      </c>
      <c r="P260" s="11">
        <v>43726</v>
      </c>
      <c r="Q260" s="12">
        <v>43603</v>
      </c>
      <c r="R260" s="11">
        <v>43615</v>
      </c>
      <c r="S260" s="12">
        <v>43612</v>
      </c>
      <c r="T260" s="11">
        <v>43607</v>
      </c>
      <c r="U260" s="12">
        <v>43582</v>
      </c>
      <c r="V260" s="11">
        <v>43622</v>
      </c>
      <c r="W260" s="12">
        <v>43613</v>
      </c>
      <c r="X260" s="11">
        <v>43605</v>
      </c>
      <c r="Y260" s="12">
        <v>43595</v>
      </c>
      <c r="Z260" s="11">
        <v>43582</v>
      </c>
      <c r="AA260" s="12">
        <v>43556</v>
      </c>
      <c r="AB260" s="11"/>
      <c r="AC260" s="12">
        <v>43570</v>
      </c>
      <c r="AD260" s="34"/>
      <c r="AE260" s="33">
        <f t="shared" si="37"/>
        <v>43568</v>
      </c>
      <c r="AF260" s="33">
        <f t="shared" si="38"/>
        <v>43606</v>
      </c>
      <c r="AG260" s="33">
        <f t="shared" si="39"/>
        <v>43726</v>
      </c>
      <c r="AH260">
        <v>322</v>
      </c>
      <c r="AK260" s="36" t="str">
        <f t="shared" si="33"/>
        <v/>
      </c>
      <c r="AL260" t="str">
        <f t="shared" si="40"/>
        <v/>
      </c>
      <c r="AM260" t="s">
        <v>393</v>
      </c>
      <c r="AN260">
        <f t="shared" si="34"/>
        <v>158</v>
      </c>
      <c r="AO260" t="str">
        <f t="shared" ref="AO260:AO323" si="43">TEXT(AE260, "p.k.")  &amp; "---" &amp; TEXT(AF260, "p.k.")  &amp; "---" &amp; TEXT(AG260, "p.k.")</f>
        <v>13.4.---21.5.---18.9.</v>
      </c>
      <c r="AP260" t="str">
        <f t="shared" si="36"/>
        <v>Virtavästäräkki</v>
      </c>
      <c r="AQ260" t="str">
        <f t="shared" si="41"/>
        <v>(13.4.---21.5.---18.9.)</v>
      </c>
    </row>
    <row r="261" spans="1:43" x14ac:dyDescent="0.2">
      <c r="A261" s="1"/>
      <c r="B261" s="9">
        <f t="shared" si="42"/>
        <v>255</v>
      </c>
      <c r="C261" s="10"/>
      <c r="D261" s="9" t="s">
        <v>254</v>
      </c>
      <c r="E261" s="10"/>
      <c r="F261" s="11">
        <v>43564</v>
      </c>
      <c r="G261" s="12">
        <v>43560</v>
      </c>
      <c r="H261" s="11">
        <v>43559</v>
      </c>
      <c r="I261" s="12">
        <v>43547</v>
      </c>
      <c r="J261" s="11">
        <v>43561</v>
      </c>
      <c r="K261" s="12">
        <v>43564</v>
      </c>
      <c r="L261" s="11">
        <v>43564</v>
      </c>
      <c r="M261" s="12">
        <v>43553</v>
      </c>
      <c r="N261" s="11">
        <v>43556</v>
      </c>
      <c r="O261" s="12">
        <f>IF(AG1,DATE(2019,1,1),DATE(2019,4,9))</f>
        <v>43564</v>
      </c>
      <c r="P261" s="11">
        <v>43552</v>
      </c>
      <c r="Q261" s="12">
        <v>43562</v>
      </c>
      <c r="R261" s="11">
        <f>IF(AG1,DATE(2019,1,26),DATE(2019,3,13))</f>
        <v>43537</v>
      </c>
      <c r="S261" s="12">
        <v>43569</v>
      </c>
      <c r="T261" s="11">
        <v>43551</v>
      </c>
      <c r="U261" s="12">
        <v>43539</v>
      </c>
      <c r="V261" s="11">
        <v>43551</v>
      </c>
      <c r="W261" s="12">
        <v>43560</v>
      </c>
      <c r="X261" s="11">
        <v>43562</v>
      </c>
      <c r="Y261" s="12">
        <v>43558</v>
      </c>
      <c r="Z261" s="11">
        <v>43547</v>
      </c>
      <c r="AA261" s="12">
        <v>43557</v>
      </c>
      <c r="AB261" s="11">
        <v>43565</v>
      </c>
      <c r="AC261" s="12">
        <v>43561</v>
      </c>
      <c r="AD261" s="34"/>
      <c r="AE261" s="33">
        <f t="shared" ref="AE261:AE324" si="44">IF(SUM(F261:Z261)&gt;0,MIN(F261:Z261),"")</f>
        <v>43537</v>
      </c>
      <c r="AF261" s="33">
        <f t="shared" ref="AF261:AF324" si="45">IF(SUM(F261:Z261)&gt;0,MEDIAN(F261:Z261),"")</f>
        <v>43559</v>
      </c>
      <c r="AG261" s="33">
        <f t="shared" ref="AG261:AG324" si="46">IF(SUM(F261:Z261)&gt;0,MAX(F261:Z261),"")</f>
        <v>43569</v>
      </c>
      <c r="AH261">
        <v>323</v>
      </c>
      <c r="AK261" s="36" t="str">
        <f t="shared" ref="AK261:AK324" si="47">IF(AI261&lt;&gt;"",D261 &amp; "x" &amp; TEXT(AE261, "pp.kk.")  &amp; "2019x" &amp; TEXT(Z261, "pp.kk.") &amp; "2019","")</f>
        <v/>
      </c>
      <c r="AL261" t="str">
        <f t="shared" ref="AL261:AL324" si="48">IF(COUNTIF(F261:Z261,"&lt;01.03.2019")&gt;0,COUNTIF(F261:Z261,"&lt;01.03.2019"),"")</f>
        <v/>
      </c>
      <c r="AM261">
        <v>2</v>
      </c>
      <c r="AN261">
        <f t="shared" ref="AN261:AN324" si="49">AG261-AE261</f>
        <v>32</v>
      </c>
      <c r="AO261" t="str">
        <f t="shared" si="43"/>
        <v>13.3.---4.4.---14.4.</v>
      </c>
      <c r="AP261" t="str">
        <f t="shared" ref="AP261:AP324" si="50">D261</f>
        <v>Västäräkki</v>
      </c>
      <c r="AQ261" t="str">
        <f t="shared" ref="AQ261:AQ324" si="51">IF(AND(AM261&gt;0,AM261&lt;&gt;""),"(" &amp;AO261 &amp; ", " &amp; AM261 &amp; "/21)","(" &amp; AO261 &amp; ")")</f>
        <v>(13.3.---4.4.---14.4., 2/21)</v>
      </c>
    </row>
    <row r="262" spans="1:43" x14ac:dyDescent="0.2">
      <c r="A262" s="1"/>
      <c r="B262" s="9">
        <f t="shared" si="42"/>
        <v>256</v>
      </c>
      <c r="C262" s="10"/>
      <c r="D262" s="9" t="s">
        <v>255</v>
      </c>
      <c r="E262" s="10"/>
      <c r="F262" s="11"/>
      <c r="G262" s="12">
        <v>43466</v>
      </c>
      <c r="H262" s="11">
        <v>43485</v>
      </c>
      <c r="I262" s="12">
        <v>43466</v>
      </c>
      <c r="J262" s="11">
        <v>43466</v>
      </c>
      <c r="K262" s="12">
        <v>43466</v>
      </c>
      <c r="L262" s="11">
        <v>43466</v>
      </c>
      <c r="M262" s="12">
        <v>43466</v>
      </c>
      <c r="N262" s="11">
        <v>43466</v>
      </c>
      <c r="O262" s="12">
        <v>43466</v>
      </c>
      <c r="P262" s="11">
        <v>43466</v>
      </c>
      <c r="Q262" s="12">
        <v>43466</v>
      </c>
      <c r="R262" s="11">
        <v>43466</v>
      </c>
      <c r="S262" s="12">
        <v>43466</v>
      </c>
      <c r="T262" s="11">
        <v>43467</v>
      </c>
      <c r="U262" s="12">
        <v>43466</v>
      </c>
      <c r="V262" s="11">
        <v>43475</v>
      </c>
      <c r="W262" s="12">
        <v>43466</v>
      </c>
      <c r="X262" s="11">
        <v>43466</v>
      </c>
      <c r="Y262" s="12">
        <v>43466</v>
      </c>
      <c r="Z262" s="11">
        <v>43466</v>
      </c>
      <c r="AA262" s="12">
        <v>43466</v>
      </c>
      <c r="AB262" s="11">
        <v>43466</v>
      </c>
      <c r="AC262" s="12">
        <v>43467</v>
      </c>
      <c r="AD262" s="34"/>
      <c r="AE262" s="33">
        <f t="shared" si="44"/>
        <v>43466</v>
      </c>
      <c r="AF262" s="33">
        <f t="shared" si="45"/>
        <v>43466</v>
      </c>
      <c r="AG262" s="33">
        <f t="shared" si="46"/>
        <v>43485</v>
      </c>
      <c r="AH262">
        <v>324</v>
      </c>
      <c r="AK262" s="36" t="str">
        <f t="shared" si="47"/>
        <v/>
      </c>
      <c r="AL262">
        <f t="shared" si="48"/>
        <v>20</v>
      </c>
      <c r="AM262">
        <v>20</v>
      </c>
      <c r="AN262">
        <f t="shared" si="49"/>
        <v>19</v>
      </c>
      <c r="AO262" t="str">
        <f t="shared" si="43"/>
        <v>1.1.---1.1.---20.1.</v>
      </c>
      <c r="AP262" t="str">
        <f t="shared" si="50"/>
        <v>Tilhi</v>
      </c>
      <c r="AQ262" t="str">
        <f t="shared" si="51"/>
        <v>(1.1.---1.1.---20.1., 20/21)</v>
      </c>
    </row>
    <row r="263" spans="1:43" x14ac:dyDescent="0.2">
      <c r="A263" s="1"/>
      <c r="B263" s="9">
        <f t="shared" si="42"/>
        <v>257</v>
      </c>
      <c r="C263" s="10"/>
      <c r="D263" s="9" t="s">
        <v>256</v>
      </c>
      <c r="E263" s="10"/>
      <c r="F263" s="11">
        <v>43467</v>
      </c>
      <c r="G263" s="12">
        <v>43466</v>
      </c>
      <c r="H263" s="11">
        <v>43470</v>
      </c>
      <c r="I263" s="12">
        <v>43466</v>
      </c>
      <c r="J263" s="11">
        <v>43466</v>
      </c>
      <c r="K263" s="12">
        <v>43466</v>
      </c>
      <c r="L263" s="11">
        <v>43466</v>
      </c>
      <c r="M263" s="12">
        <v>43466</v>
      </c>
      <c r="N263" s="11">
        <v>43466</v>
      </c>
      <c r="O263" s="12">
        <v>43466</v>
      </c>
      <c r="P263" s="11">
        <v>43466</v>
      </c>
      <c r="Q263" s="12">
        <v>43466</v>
      </c>
      <c r="R263" s="11">
        <v>43466</v>
      </c>
      <c r="S263" s="12">
        <v>43466</v>
      </c>
      <c r="T263" s="11">
        <v>43466</v>
      </c>
      <c r="U263" s="12">
        <v>43466</v>
      </c>
      <c r="V263" s="11">
        <v>43466</v>
      </c>
      <c r="W263" s="12">
        <v>43466</v>
      </c>
      <c r="X263" s="11">
        <v>43466</v>
      </c>
      <c r="Y263" s="12">
        <v>43466</v>
      </c>
      <c r="Z263" s="11">
        <v>43466</v>
      </c>
      <c r="AA263" s="12">
        <v>43466</v>
      </c>
      <c r="AB263" s="11">
        <v>43466</v>
      </c>
      <c r="AC263" s="12">
        <v>43466</v>
      </c>
      <c r="AD263" s="34"/>
      <c r="AE263" s="33">
        <f t="shared" si="44"/>
        <v>43466</v>
      </c>
      <c r="AF263" s="33">
        <f t="shared" si="45"/>
        <v>43466</v>
      </c>
      <c r="AG263" s="33">
        <f t="shared" si="46"/>
        <v>43470</v>
      </c>
      <c r="AH263">
        <v>325</v>
      </c>
      <c r="AK263" s="36" t="str">
        <f t="shared" si="47"/>
        <v/>
      </c>
      <c r="AL263">
        <f t="shared" si="48"/>
        <v>21</v>
      </c>
      <c r="AM263">
        <v>21</v>
      </c>
      <c r="AN263">
        <f t="shared" si="49"/>
        <v>4</v>
      </c>
      <c r="AO263" t="str">
        <f t="shared" si="43"/>
        <v>1.1.---1.1.---5.1.</v>
      </c>
      <c r="AP263" t="str">
        <f t="shared" si="50"/>
        <v>Koskikara</v>
      </c>
      <c r="AQ263" t="str">
        <f t="shared" si="51"/>
        <v>(1.1.---1.1.---5.1., 21/21)</v>
      </c>
    </row>
    <row r="264" spans="1:43" x14ac:dyDescent="0.2">
      <c r="A264" s="1"/>
      <c r="B264" s="9">
        <f t="shared" si="42"/>
        <v>258</v>
      </c>
      <c r="C264" s="10"/>
      <c r="D264" s="9" t="s">
        <v>257</v>
      </c>
      <c r="E264" s="10"/>
      <c r="F264" s="11">
        <v>43568</v>
      </c>
      <c r="G264" s="12">
        <v>43562</v>
      </c>
      <c r="H264" s="11">
        <v>43555</v>
      </c>
      <c r="I264" s="12">
        <v>43591</v>
      </c>
      <c r="J264" s="11">
        <v>43563</v>
      </c>
      <c r="K264" s="12">
        <v>43566</v>
      </c>
      <c r="L264" s="11">
        <v>43566</v>
      </c>
      <c r="M264" s="12">
        <v>43563</v>
      </c>
      <c r="N264" s="11">
        <f>IF(AG1,DATE(2019,2,26),DATE(2019,4,6))</f>
        <v>43561</v>
      </c>
      <c r="O264" s="12">
        <f>IF(AG1,DATE(2019,2,4),DATE(2019,4,13))</f>
        <v>43568</v>
      </c>
      <c r="P264" s="11">
        <v>43559</v>
      </c>
      <c r="Q264" s="12">
        <v>43567</v>
      </c>
      <c r="R264" s="11">
        <v>43570</v>
      </c>
      <c r="S264" s="12">
        <v>43576</v>
      </c>
      <c r="T264" s="11">
        <v>43567</v>
      </c>
      <c r="U264" s="12">
        <v>43557</v>
      </c>
      <c r="V264" s="11">
        <v>43564</v>
      </c>
      <c r="W264" s="12">
        <v>43562</v>
      </c>
      <c r="X264" s="11">
        <v>43569</v>
      </c>
      <c r="Y264" s="12">
        <v>43561</v>
      </c>
      <c r="Z264" s="11">
        <v>43549</v>
      </c>
      <c r="AA264" s="12">
        <f>IF(AG1,DATE(2019,1,6),DATE(2019,3,31))</f>
        <v>43555</v>
      </c>
      <c r="AB264" s="11">
        <v>43551</v>
      </c>
      <c r="AC264" s="12">
        <v>43562</v>
      </c>
      <c r="AD264" s="34"/>
      <c r="AE264" s="33">
        <f t="shared" si="44"/>
        <v>43549</v>
      </c>
      <c r="AF264" s="33">
        <f t="shared" si="45"/>
        <v>43564</v>
      </c>
      <c r="AG264" s="33">
        <f t="shared" si="46"/>
        <v>43591</v>
      </c>
      <c r="AH264">
        <v>326</v>
      </c>
      <c r="AK264" s="36" t="str">
        <f t="shared" si="47"/>
        <v/>
      </c>
      <c r="AL264" t="str">
        <f t="shared" si="48"/>
        <v/>
      </c>
      <c r="AM264">
        <v>2</v>
      </c>
      <c r="AN264">
        <f t="shared" si="49"/>
        <v>42</v>
      </c>
      <c r="AO264" t="str">
        <f t="shared" si="43"/>
        <v>25.3.---9.4.---6.5.</v>
      </c>
      <c r="AP264" t="str">
        <f t="shared" si="50"/>
        <v>Peukaloinen</v>
      </c>
      <c r="AQ264" t="str">
        <f t="shared" si="51"/>
        <v>(25.3.---9.4.---6.5., 2/21)</v>
      </c>
    </row>
    <row r="265" spans="1:43" x14ac:dyDescent="0.2">
      <c r="A265" s="1"/>
      <c r="B265" s="9">
        <f t="shared" si="42"/>
        <v>259</v>
      </c>
      <c r="C265" s="10"/>
      <c r="D265" s="9" t="s">
        <v>258</v>
      </c>
      <c r="E265" s="10"/>
      <c r="F265" s="11">
        <v>43567</v>
      </c>
      <c r="G265" s="12">
        <v>43560</v>
      </c>
      <c r="H265" s="11">
        <v>43567</v>
      </c>
      <c r="I265" s="12">
        <v>43567</v>
      </c>
      <c r="J265" s="11">
        <v>43565</v>
      </c>
      <c r="K265" s="12">
        <v>43560</v>
      </c>
      <c r="L265" s="11">
        <f>IF(AG1,DATE(2019,1,30),DATE(2019,4,14))</f>
        <v>43569</v>
      </c>
      <c r="M265" s="12">
        <v>43562</v>
      </c>
      <c r="N265" s="11">
        <v>43561</v>
      </c>
      <c r="O265" s="12">
        <v>43565</v>
      </c>
      <c r="P265" s="11">
        <v>43564</v>
      </c>
      <c r="Q265" s="12">
        <v>43569</v>
      </c>
      <c r="R265" s="11">
        <v>43567</v>
      </c>
      <c r="S265" s="12">
        <v>43573</v>
      </c>
      <c r="T265" s="11">
        <v>43549</v>
      </c>
      <c r="U265" s="12">
        <v>43554</v>
      </c>
      <c r="V265" s="11">
        <v>43553</v>
      </c>
      <c r="W265" s="12">
        <f>IF(AG1,DATE(2019,2,7),DATE(2019,4,4))</f>
        <v>43559</v>
      </c>
      <c r="X265" s="11">
        <v>43569</v>
      </c>
      <c r="Y265" s="12">
        <v>43559</v>
      </c>
      <c r="Z265" s="11">
        <v>43550</v>
      </c>
      <c r="AA265" s="12">
        <v>43557</v>
      </c>
      <c r="AB265" s="11">
        <f>IF(AF1,DATE(2019,2,18),DATE(2019,4,16))</f>
        <v>43571</v>
      </c>
      <c r="AC265" s="12">
        <v>43565</v>
      </c>
      <c r="AD265" s="34"/>
      <c r="AE265" s="33">
        <f t="shared" si="44"/>
        <v>43549</v>
      </c>
      <c r="AF265" s="33">
        <f t="shared" si="45"/>
        <v>43564</v>
      </c>
      <c r="AG265" s="33">
        <f t="shared" si="46"/>
        <v>43573</v>
      </c>
      <c r="AH265">
        <v>327</v>
      </c>
      <c r="AK265" s="36" t="str">
        <f t="shared" si="47"/>
        <v/>
      </c>
      <c r="AL265" t="str">
        <f t="shared" si="48"/>
        <v/>
      </c>
      <c r="AM265">
        <v>2</v>
      </c>
      <c r="AN265">
        <f t="shared" si="49"/>
        <v>24</v>
      </c>
      <c r="AO265" t="str">
        <f t="shared" si="43"/>
        <v>25.3.---9.4.---18.4.</v>
      </c>
      <c r="AP265" t="str">
        <f t="shared" si="50"/>
        <v>Rautiainen</v>
      </c>
      <c r="AQ265" t="str">
        <f t="shared" si="51"/>
        <v>(25.3.---9.4.---18.4., 2/21)</v>
      </c>
    </row>
    <row r="266" spans="1:43" x14ac:dyDescent="0.2">
      <c r="A266" s="1"/>
      <c r="B266" s="9">
        <f t="shared" si="42"/>
        <v>260</v>
      </c>
      <c r="C266" s="10"/>
      <c r="D266" s="17" t="s">
        <v>259</v>
      </c>
      <c r="E266" s="10"/>
      <c r="F266" s="11"/>
      <c r="G266" s="12"/>
      <c r="H266" s="11"/>
      <c r="I266" s="12"/>
      <c r="J266" s="11"/>
      <c r="K266" s="12"/>
      <c r="L266" s="11"/>
      <c r="M266" s="12"/>
      <c r="N266" s="11"/>
      <c r="O266" s="12"/>
      <c r="P266" s="11"/>
      <c r="Q266" s="12"/>
      <c r="R266" s="11"/>
      <c r="S266" s="12"/>
      <c r="T266" s="11"/>
      <c r="U266" s="12"/>
      <c r="V266" s="11">
        <v>43767</v>
      </c>
      <c r="W266" s="12"/>
      <c r="X266" s="11"/>
      <c r="Y266" s="12"/>
      <c r="Z266" s="11"/>
      <c r="AA266" s="12"/>
      <c r="AB266" s="11"/>
      <c r="AC266" s="12"/>
      <c r="AD266" s="34"/>
      <c r="AE266" s="33">
        <f t="shared" si="44"/>
        <v>43767</v>
      </c>
      <c r="AF266" s="33">
        <f t="shared" si="45"/>
        <v>43767</v>
      </c>
      <c r="AG266" s="33">
        <f t="shared" si="46"/>
        <v>43767</v>
      </c>
      <c r="AH266">
        <v>328</v>
      </c>
      <c r="AK266" s="36" t="str">
        <f t="shared" si="47"/>
        <v/>
      </c>
      <c r="AL266" t="str">
        <f t="shared" si="48"/>
        <v/>
      </c>
      <c r="AM266" t="s">
        <v>393</v>
      </c>
      <c r="AN266">
        <f t="shared" si="49"/>
        <v>0</v>
      </c>
      <c r="AO266" t="str">
        <f t="shared" si="43"/>
        <v>29.10.---29.10.---29.10.</v>
      </c>
      <c r="AP266" t="str">
        <f t="shared" si="50"/>
        <v>Taigarautiainen</v>
      </c>
      <c r="AQ266" t="str">
        <f t="shared" si="51"/>
        <v>(29.10.---29.10.---29.10.)</v>
      </c>
    </row>
    <row r="267" spans="1:43" x14ac:dyDescent="0.2">
      <c r="A267" s="1"/>
      <c r="B267" s="9">
        <f t="shared" si="42"/>
        <v>261</v>
      </c>
      <c r="C267" s="10"/>
      <c r="D267" s="17" t="s">
        <v>260</v>
      </c>
      <c r="E267" s="10"/>
      <c r="F267" s="11"/>
      <c r="G267" s="12"/>
      <c r="H267" s="11"/>
      <c r="I267" s="12"/>
      <c r="J267" s="11"/>
      <c r="K267" s="12"/>
      <c r="L267" s="11"/>
      <c r="M267" s="12"/>
      <c r="N267" s="11"/>
      <c r="O267" s="12"/>
      <c r="P267" s="11"/>
      <c r="Q267" s="12"/>
      <c r="R267" s="11"/>
      <c r="S267" s="12"/>
      <c r="T267" s="11">
        <v>43807</v>
      </c>
      <c r="U267" s="12">
        <v>43466</v>
      </c>
      <c r="V267" s="11"/>
      <c r="W267" s="12"/>
      <c r="X267" s="11"/>
      <c r="Y267" s="12"/>
      <c r="Z267" s="11"/>
      <c r="AA267" s="12"/>
      <c r="AB267" s="11"/>
      <c r="AC267" s="12"/>
      <c r="AD267" s="34"/>
      <c r="AE267" s="33">
        <f t="shared" si="44"/>
        <v>43466</v>
      </c>
      <c r="AF267" s="33">
        <f t="shared" si="45"/>
        <v>43636.5</v>
      </c>
      <c r="AG267" s="33">
        <f t="shared" si="46"/>
        <v>43807</v>
      </c>
      <c r="AH267">
        <v>329</v>
      </c>
      <c r="AK267" s="36" t="str">
        <f t="shared" si="47"/>
        <v/>
      </c>
      <c r="AL267">
        <f t="shared" si="48"/>
        <v>1</v>
      </c>
      <c r="AM267">
        <v>1</v>
      </c>
      <c r="AN267">
        <f t="shared" si="49"/>
        <v>341</v>
      </c>
      <c r="AO267" t="str">
        <f t="shared" si="43"/>
        <v>1.1.---20.6.---8.12.</v>
      </c>
      <c r="AP267" t="str">
        <f t="shared" si="50"/>
        <v>Mustakurkkurautiainen</v>
      </c>
      <c r="AQ267" t="str">
        <f t="shared" si="51"/>
        <v>(1.1.---20.6.---8.12., 1/21)</v>
      </c>
    </row>
    <row r="268" spans="1:43" x14ac:dyDescent="0.2">
      <c r="A268" s="1"/>
      <c r="B268" s="9">
        <f t="shared" si="42"/>
        <v>262</v>
      </c>
      <c r="C268" s="10"/>
      <c r="D268" s="9" t="s">
        <v>261</v>
      </c>
      <c r="E268" s="10"/>
      <c r="F268" s="11">
        <v>43567</v>
      </c>
      <c r="G268" s="12">
        <f>IF(AG1,DATE(2019,1,7),DATE(2019,4,3))</f>
        <v>43558</v>
      </c>
      <c r="H268" s="11">
        <v>43562</v>
      </c>
      <c r="I268" s="12">
        <f>IF(AG1,DATE(2019,1,1),DATE(2019,4,15))</f>
        <v>43570</v>
      </c>
      <c r="J268" s="11">
        <v>43563</v>
      </c>
      <c r="K268" s="12">
        <f>IF(AG1,DATE(2019,1,1),DATE(2019,4,7))</f>
        <v>43562</v>
      </c>
      <c r="L268" s="11">
        <v>43564</v>
      </c>
      <c r="M268" s="12">
        <f>IF(AG1,DATE(2019,1,2),DATE(2019,3,30))</f>
        <v>43554</v>
      </c>
      <c r="N268" s="11">
        <f>IF(AG1,DATE(2019,1,1),DATE(2019,4,3))</f>
        <v>43558</v>
      </c>
      <c r="O268" s="12">
        <f>IF(AG1,DATE(2019,1,1),DATE(2019,4,9))</f>
        <v>43564</v>
      </c>
      <c r="P268" s="11">
        <v>43551</v>
      </c>
      <c r="Q268" s="12">
        <f>IF(AG1,DATE(2019,1,30),DATE(2019,4,6))</f>
        <v>43561</v>
      </c>
      <c r="R268" s="11">
        <f>IF(AG1,DATE(2019,1,1),DATE(2019,4,14))</f>
        <v>43569</v>
      </c>
      <c r="S268" s="12">
        <v>43571</v>
      </c>
      <c r="T268" s="11">
        <f>IF(AG1,DATE(2019,1,9),DATE(2019,3,22))</f>
        <v>43546</v>
      </c>
      <c r="U268" s="12">
        <f>IF(AG1,DATE(2019,1,1),DATE(2019,4,3))</f>
        <v>43558</v>
      </c>
      <c r="V268" s="11">
        <f>IF(AG1,DATE(2019,1,4),DATE(2019,3,29))</f>
        <v>43553</v>
      </c>
      <c r="W268" s="12">
        <f>IF(AG1,DATE(2019,1,1),DATE(2019,4,1))</f>
        <v>43556</v>
      </c>
      <c r="X268" s="11">
        <f>IF(AG1,DATE(2019,1,1),DATE(2019,4,5))</f>
        <v>43560</v>
      </c>
      <c r="Y268" s="12">
        <f>IF(AG1,DATE(2019,1,1),DATE(2019,4,1))</f>
        <v>43556</v>
      </c>
      <c r="Z268" s="11">
        <f>IF(AG1,DATE(2019,1,1),DATE(2019,3,22))</f>
        <v>43546</v>
      </c>
      <c r="AA268" s="12">
        <f>IF(AG1,DATE(2019,1,9),DATE(2019,3,25))</f>
        <v>43549</v>
      </c>
      <c r="AB268" s="11">
        <f>IF(AF1,DATE(2019,1,8),DATE(2019,3,28))</f>
        <v>43552</v>
      </c>
      <c r="AC268" s="12">
        <v>43467</v>
      </c>
      <c r="AD268" s="34"/>
      <c r="AE268" s="33">
        <f t="shared" si="44"/>
        <v>43546</v>
      </c>
      <c r="AF268" s="33">
        <f t="shared" si="45"/>
        <v>43560</v>
      </c>
      <c r="AG268" s="33">
        <f t="shared" si="46"/>
        <v>43571</v>
      </c>
      <c r="AH268">
        <v>332</v>
      </c>
      <c r="AK268" s="36" t="str">
        <f t="shared" si="47"/>
        <v/>
      </c>
      <c r="AL268" t="str">
        <f t="shared" si="48"/>
        <v/>
      </c>
      <c r="AM268">
        <v>15</v>
      </c>
      <c r="AN268">
        <f t="shared" si="49"/>
        <v>25</v>
      </c>
      <c r="AO268" t="str">
        <f t="shared" si="43"/>
        <v>22.3.---5.4.---16.4.</v>
      </c>
      <c r="AP268" t="str">
        <f t="shared" si="50"/>
        <v>Punarinta</v>
      </c>
      <c r="AQ268" t="str">
        <f t="shared" si="51"/>
        <v>(22.3.---5.4.---16.4., 15/21)</v>
      </c>
    </row>
    <row r="269" spans="1:43" x14ac:dyDescent="0.2">
      <c r="A269" s="1"/>
      <c r="B269" s="9">
        <f t="shared" si="42"/>
        <v>263</v>
      </c>
      <c r="C269" s="10"/>
      <c r="D269" s="9" t="s">
        <v>262</v>
      </c>
      <c r="E269" s="10"/>
      <c r="F269" s="11">
        <v>43608</v>
      </c>
      <c r="G269" s="12">
        <v>43609</v>
      </c>
      <c r="H269" s="11">
        <v>43606</v>
      </c>
      <c r="I269" s="12">
        <v>43606</v>
      </c>
      <c r="J269" s="11">
        <v>43605</v>
      </c>
      <c r="K269" s="12">
        <v>43609</v>
      </c>
      <c r="L269" s="11">
        <v>43607</v>
      </c>
      <c r="M269" s="12">
        <v>43603</v>
      </c>
      <c r="N269" s="11">
        <v>43605</v>
      </c>
      <c r="O269" s="12">
        <v>43606</v>
      </c>
      <c r="P269" s="11">
        <v>43601</v>
      </c>
      <c r="Q269" s="12">
        <v>43620</v>
      </c>
      <c r="R269" s="11">
        <v>43601</v>
      </c>
      <c r="S269" s="12">
        <v>43601</v>
      </c>
      <c r="T269" s="11">
        <v>43602</v>
      </c>
      <c r="U269" s="12">
        <v>43600</v>
      </c>
      <c r="V269" s="11">
        <v>43602</v>
      </c>
      <c r="W269" s="12">
        <v>43609</v>
      </c>
      <c r="X269" s="11">
        <v>43596</v>
      </c>
      <c r="Y269" s="12">
        <v>43606</v>
      </c>
      <c r="Z269" s="11">
        <v>43594</v>
      </c>
      <c r="AA269" s="12">
        <v>43601</v>
      </c>
      <c r="AB269" s="11">
        <v>43606</v>
      </c>
      <c r="AC269" s="12">
        <v>43604</v>
      </c>
      <c r="AD269" s="34"/>
      <c r="AE269" s="33">
        <f t="shared" si="44"/>
        <v>43594</v>
      </c>
      <c r="AF269" s="33">
        <f t="shared" si="45"/>
        <v>43605</v>
      </c>
      <c r="AG269" s="33">
        <f t="shared" si="46"/>
        <v>43620</v>
      </c>
      <c r="AH269">
        <v>333</v>
      </c>
      <c r="AK269" s="36" t="str">
        <f t="shared" si="47"/>
        <v/>
      </c>
      <c r="AL269" t="str">
        <f t="shared" si="48"/>
        <v/>
      </c>
      <c r="AM269" t="s">
        <v>393</v>
      </c>
      <c r="AN269">
        <f t="shared" si="49"/>
        <v>26</v>
      </c>
      <c r="AO269" t="str">
        <f t="shared" si="43"/>
        <v>9.5.---20.5.---4.6.</v>
      </c>
      <c r="AP269" t="str">
        <f t="shared" si="50"/>
        <v>Satakieli</v>
      </c>
      <c r="AQ269" t="str">
        <f t="shared" si="51"/>
        <v>(9.5.---20.5.---4.6.)</v>
      </c>
    </row>
    <row r="270" spans="1:43" x14ac:dyDescent="0.2">
      <c r="A270" s="1"/>
      <c r="B270" s="9">
        <f t="shared" si="42"/>
        <v>264</v>
      </c>
      <c r="C270" s="10"/>
      <c r="D270" s="15" t="s">
        <v>263</v>
      </c>
      <c r="E270" s="16"/>
      <c r="F270" s="11"/>
      <c r="G270" s="12"/>
      <c r="H270" s="11"/>
      <c r="I270" s="12"/>
      <c r="J270" s="11"/>
      <c r="K270" s="12"/>
      <c r="L270" s="11"/>
      <c r="M270" s="12"/>
      <c r="N270" s="11"/>
      <c r="O270" s="12"/>
      <c r="P270" s="11"/>
      <c r="Q270" s="12"/>
      <c r="R270" s="11">
        <v>43742</v>
      </c>
      <c r="S270" s="12"/>
      <c r="T270" s="11"/>
      <c r="U270" s="12"/>
      <c r="V270" s="11"/>
      <c r="W270" s="12"/>
      <c r="X270" s="11"/>
      <c r="Y270" s="12"/>
      <c r="Z270" s="11">
        <v>43609</v>
      </c>
      <c r="AA270" s="12"/>
      <c r="AB270" s="11"/>
      <c r="AC270" s="12"/>
      <c r="AD270" s="34"/>
      <c r="AE270" s="33">
        <f t="shared" si="44"/>
        <v>43609</v>
      </c>
      <c r="AF270" s="33">
        <f t="shared" si="45"/>
        <v>43675.5</v>
      </c>
      <c r="AG270" s="33">
        <f t="shared" si="46"/>
        <v>43742</v>
      </c>
      <c r="AH270">
        <v>334</v>
      </c>
      <c r="AK270" s="36" t="str">
        <f t="shared" si="47"/>
        <v/>
      </c>
      <c r="AL270" t="str">
        <f t="shared" si="48"/>
        <v/>
      </c>
      <c r="AM270" t="s">
        <v>393</v>
      </c>
      <c r="AN270">
        <f t="shared" si="49"/>
        <v>133</v>
      </c>
      <c r="AO270" t="str">
        <f t="shared" si="43"/>
        <v>24.5.---29.7.---4.10.</v>
      </c>
      <c r="AP270" t="str">
        <f t="shared" si="50"/>
        <v>Etelänsatakieli</v>
      </c>
      <c r="AQ270" t="str">
        <f t="shared" si="51"/>
        <v>(24.5.---29.7.---4.10.)</v>
      </c>
    </row>
    <row r="271" spans="1:43" x14ac:dyDescent="0.2">
      <c r="A271" s="1"/>
      <c r="B271" s="9">
        <f t="shared" si="42"/>
        <v>265</v>
      </c>
      <c r="C271" s="10"/>
      <c r="D271" s="9" t="s">
        <v>264</v>
      </c>
      <c r="E271" s="10"/>
      <c r="F271" s="11">
        <v>43592</v>
      </c>
      <c r="G271" s="12">
        <v>43589</v>
      </c>
      <c r="H271" s="11">
        <v>43589</v>
      </c>
      <c r="I271" s="12">
        <v>43597</v>
      </c>
      <c r="J271" s="11">
        <v>43592</v>
      </c>
      <c r="K271" s="12">
        <v>43595</v>
      </c>
      <c r="L271" s="11">
        <v>43591</v>
      </c>
      <c r="M271" s="12">
        <v>43586</v>
      </c>
      <c r="N271" s="11">
        <v>43588</v>
      </c>
      <c r="O271" s="12">
        <v>43587</v>
      </c>
      <c r="P271" s="11">
        <v>43593</v>
      </c>
      <c r="Q271" s="12">
        <v>43592</v>
      </c>
      <c r="R271" s="11">
        <v>43587</v>
      </c>
      <c r="S271" s="12">
        <v>43593</v>
      </c>
      <c r="T271" s="11">
        <v>43589</v>
      </c>
      <c r="U271" s="12">
        <v>43592</v>
      </c>
      <c r="V271" s="11">
        <v>43586</v>
      </c>
      <c r="W271" s="12">
        <v>43601</v>
      </c>
      <c r="X271" s="11">
        <v>43596</v>
      </c>
      <c r="Y271" s="12">
        <v>43595</v>
      </c>
      <c r="Z271" s="11">
        <v>43589</v>
      </c>
      <c r="AA271" s="12">
        <v>43597</v>
      </c>
      <c r="AB271" s="11">
        <v>43597</v>
      </c>
      <c r="AC271" s="12">
        <v>43591</v>
      </c>
      <c r="AD271" s="34"/>
      <c r="AE271" s="33">
        <f t="shared" si="44"/>
        <v>43586</v>
      </c>
      <c r="AF271" s="33">
        <f t="shared" si="45"/>
        <v>43592</v>
      </c>
      <c r="AG271" s="33">
        <f t="shared" si="46"/>
        <v>43601</v>
      </c>
      <c r="AH271">
        <v>335</v>
      </c>
      <c r="AK271" s="36" t="str">
        <f t="shared" si="47"/>
        <v/>
      </c>
      <c r="AL271" t="str">
        <f t="shared" si="48"/>
        <v/>
      </c>
      <c r="AM271" t="s">
        <v>393</v>
      </c>
      <c r="AN271">
        <f t="shared" si="49"/>
        <v>15</v>
      </c>
      <c r="AO271" t="str">
        <f t="shared" si="43"/>
        <v>1.5.---7.5.---16.5.</v>
      </c>
      <c r="AP271" t="str">
        <f t="shared" si="50"/>
        <v>Sinirinta</v>
      </c>
      <c r="AQ271" t="str">
        <f t="shared" si="51"/>
        <v>(1.5.---7.5.---16.5.)</v>
      </c>
    </row>
    <row r="272" spans="1:43" x14ac:dyDescent="0.2">
      <c r="A272" s="1"/>
      <c r="B272" s="9">
        <f t="shared" si="42"/>
        <v>266</v>
      </c>
      <c r="C272" s="10"/>
      <c r="D272" s="15" t="s">
        <v>265</v>
      </c>
      <c r="E272" s="16"/>
      <c r="F272" s="11"/>
      <c r="G272" s="12"/>
      <c r="H272" s="11"/>
      <c r="I272" s="12"/>
      <c r="J272" s="11">
        <v>43719</v>
      </c>
      <c r="K272" s="12">
        <v>43768</v>
      </c>
      <c r="L272" s="11"/>
      <c r="M272" s="12"/>
      <c r="N272" s="11"/>
      <c r="O272" s="12"/>
      <c r="P272" s="11"/>
      <c r="Q272" s="12"/>
      <c r="R272" s="11"/>
      <c r="S272" s="12"/>
      <c r="T272" s="11"/>
      <c r="U272" s="12"/>
      <c r="V272" s="11"/>
      <c r="W272" s="12"/>
      <c r="X272" s="11"/>
      <c r="Y272" s="12"/>
      <c r="Z272" s="11"/>
      <c r="AA272" s="12"/>
      <c r="AB272" s="11"/>
      <c r="AC272" s="12"/>
      <c r="AD272" s="34"/>
      <c r="AE272" s="33">
        <f t="shared" si="44"/>
        <v>43719</v>
      </c>
      <c r="AF272" s="33">
        <f t="shared" si="45"/>
        <v>43743.5</v>
      </c>
      <c r="AG272" s="33">
        <f t="shared" si="46"/>
        <v>43768</v>
      </c>
      <c r="AH272">
        <v>336</v>
      </c>
      <c r="AK272" s="36" t="str">
        <f t="shared" si="47"/>
        <v/>
      </c>
      <c r="AL272" t="str">
        <f t="shared" si="48"/>
        <v/>
      </c>
      <c r="AM272" t="s">
        <v>393</v>
      </c>
      <c r="AN272">
        <f t="shared" si="49"/>
        <v>49</v>
      </c>
      <c r="AO272" t="str">
        <f t="shared" si="43"/>
        <v>11.9.---5.10.---30.10.</v>
      </c>
      <c r="AP272" t="str">
        <f t="shared" si="50"/>
        <v>Rubiinisatakieli</v>
      </c>
      <c r="AQ272" t="str">
        <f t="shared" si="51"/>
        <v>(11.9.---5.10.---30.10.)</v>
      </c>
    </row>
    <row r="273" spans="1:43" x14ac:dyDescent="0.2">
      <c r="A273" s="1"/>
      <c r="B273" s="9">
        <f t="shared" si="42"/>
        <v>267</v>
      </c>
      <c r="C273" s="10"/>
      <c r="D273" s="9" t="s">
        <v>266</v>
      </c>
      <c r="E273" s="10"/>
      <c r="F273" s="11">
        <v>43597</v>
      </c>
      <c r="G273" s="12">
        <v>43595</v>
      </c>
      <c r="H273" s="11">
        <v>43610</v>
      </c>
      <c r="I273" s="12">
        <v>43604</v>
      </c>
      <c r="J273" s="11">
        <v>43611</v>
      </c>
      <c r="K273" s="12">
        <v>43601</v>
      </c>
      <c r="L273" s="11">
        <v>43615</v>
      </c>
      <c r="M273" s="12">
        <v>43603</v>
      </c>
      <c r="N273" s="11">
        <v>43661</v>
      </c>
      <c r="O273" s="12">
        <v>43604</v>
      </c>
      <c r="P273" s="11">
        <v>43600</v>
      </c>
      <c r="Q273" s="12">
        <v>43602</v>
      </c>
      <c r="R273" s="11">
        <v>43605</v>
      </c>
      <c r="S273" s="12">
        <v>43594</v>
      </c>
      <c r="T273" s="11">
        <v>43610</v>
      </c>
      <c r="U273" s="12">
        <v>43617</v>
      </c>
      <c r="V273" s="11">
        <v>43593</v>
      </c>
      <c r="W273" s="12">
        <v>43604</v>
      </c>
      <c r="X273" s="11">
        <v>43605</v>
      </c>
      <c r="Y273" s="12">
        <v>43580</v>
      </c>
      <c r="Z273" s="11">
        <v>43559</v>
      </c>
      <c r="AA273" s="12">
        <v>43593</v>
      </c>
      <c r="AB273" s="11">
        <v>43597</v>
      </c>
      <c r="AC273" s="12">
        <v>43597</v>
      </c>
      <c r="AD273" s="34"/>
      <c r="AE273" s="33">
        <f t="shared" si="44"/>
        <v>43559</v>
      </c>
      <c r="AF273" s="33">
        <f t="shared" si="45"/>
        <v>43604</v>
      </c>
      <c r="AG273" s="33">
        <f t="shared" si="46"/>
        <v>43661</v>
      </c>
      <c r="AH273">
        <v>337</v>
      </c>
      <c r="AK273" s="36" t="str">
        <f t="shared" si="47"/>
        <v/>
      </c>
      <c r="AL273" t="str">
        <f t="shared" si="48"/>
        <v/>
      </c>
      <c r="AM273" t="s">
        <v>393</v>
      </c>
      <c r="AN273">
        <f t="shared" si="49"/>
        <v>102</v>
      </c>
      <c r="AO273" t="str">
        <f t="shared" si="43"/>
        <v>4.4.---19.5.---15.7.</v>
      </c>
      <c r="AP273" t="str">
        <f t="shared" si="50"/>
        <v>Sinipyrstö</v>
      </c>
      <c r="AQ273" t="str">
        <f t="shared" si="51"/>
        <v>(4.4.---19.5.---15.7.)</v>
      </c>
    </row>
    <row r="274" spans="1:43" x14ac:dyDescent="0.2">
      <c r="A274" s="1"/>
      <c r="B274" s="9">
        <f t="shared" si="42"/>
        <v>268</v>
      </c>
      <c r="C274" s="10"/>
      <c r="D274" s="9" t="s">
        <v>267</v>
      </c>
      <c r="E274" s="10"/>
      <c r="F274" s="11"/>
      <c r="G274" s="12"/>
      <c r="H274" s="11"/>
      <c r="I274" s="12">
        <v>43610</v>
      </c>
      <c r="J274" s="11">
        <v>43586</v>
      </c>
      <c r="K274" s="12">
        <v>43579</v>
      </c>
      <c r="L274" s="11">
        <v>43568</v>
      </c>
      <c r="M274" s="12">
        <v>43599</v>
      </c>
      <c r="N274" s="11">
        <v>43572</v>
      </c>
      <c r="O274" s="12">
        <v>43569</v>
      </c>
      <c r="P274" s="11">
        <v>43558</v>
      </c>
      <c r="Q274" s="12">
        <v>43561</v>
      </c>
      <c r="R274" s="11">
        <v>43578</v>
      </c>
      <c r="S274" s="12">
        <v>43575</v>
      </c>
      <c r="T274" s="11">
        <v>43576</v>
      </c>
      <c r="U274" s="12">
        <v>43563</v>
      </c>
      <c r="V274" s="11">
        <v>43572</v>
      </c>
      <c r="W274" s="12">
        <v>43583</v>
      </c>
      <c r="X274" s="11">
        <v>43573</v>
      </c>
      <c r="Y274" s="12">
        <v>43562</v>
      </c>
      <c r="Z274" s="11">
        <v>43574</v>
      </c>
      <c r="AA274" s="12">
        <v>43588</v>
      </c>
      <c r="AB274" s="11">
        <v>43594</v>
      </c>
      <c r="AC274" s="12">
        <v>43585</v>
      </c>
      <c r="AD274" s="34"/>
      <c r="AE274" s="33">
        <f t="shared" si="44"/>
        <v>43558</v>
      </c>
      <c r="AF274" s="33">
        <f t="shared" si="45"/>
        <v>43573.5</v>
      </c>
      <c r="AG274" s="33">
        <f t="shared" si="46"/>
        <v>43610</v>
      </c>
      <c r="AH274">
        <v>339</v>
      </c>
      <c r="AK274" s="36" t="str">
        <f t="shared" si="47"/>
        <v/>
      </c>
      <c r="AL274" t="str">
        <f t="shared" si="48"/>
        <v/>
      </c>
      <c r="AM274" t="s">
        <v>393</v>
      </c>
      <c r="AN274">
        <f t="shared" si="49"/>
        <v>52</v>
      </c>
      <c r="AO274" t="str">
        <f t="shared" si="43"/>
        <v>3.4.---18.4.---25.5.</v>
      </c>
      <c r="AP274" t="str">
        <f t="shared" si="50"/>
        <v>Mustaleppälintu</v>
      </c>
      <c r="AQ274" t="str">
        <f t="shared" si="51"/>
        <v>(3.4.---18.4.---25.5.)</v>
      </c>
    </row>
    <row r="275" spans="1:43" x14ac:dyDescent="0.2">
      <c r="A275" s="1"/>
      <c r="B275" s="9">
        <f t="shared" si="42"/>
        <v>269</v>
      </c>
      <c r="C275" s="10"/>
      <c r="D275" s="9" t="s">
        <v>268</v>
      </c>
      <c r="E275" s="10"/>
      <c r="F275" s="11">
        <v>43579</v>
      </c>
      <c r="G275" s="12">
        <v>43589</v>
      </c>
      <c r="H275" s="11">
        <v>43585</v>
      </c>
      <c r="I275" s="12">
        <v>43589</v>
      </c>
      <c r="J275" s="11">
        <v>43575</v>
      </c>
      <c r="K275" s="12">
        <v>43588</v>
      </c>
      <c r="L275" s="11">
        <v>43582</v>
      </c>
      <c r="M275" s="12">
        <v>43580</v>
      </c>
      <c r="N275" s="11">
        <v>43583</v>
      </c>
      <c r="O275" s="12">
        <v>43583</v>
      </c>
      <c r="P275" s="11">
        <v>43589</v>
      </c>
      <c r="Q275" s="12">
        <v>43580</v>
      </c>
      <c r="R275" s="11">
        <v>43580</v>
      </c>
      <c r="S275" s="12">
        <v>43581</v>
      </c>
      <c r="T275" s="11">
        <v>43581</v>
      </c>
      <c r="U275" s="12">
        <v>43585</v>
      </c>
      <c r="V275" s="11">
        <v>43578</v>
      </c>
      <c r="W275" s="12">
        <v>43591</v>
      </c>
      <c r="X275" s="11">
        <v>43583</v>
      </c>
      <c r="Y275" s="12">
        <v>43583</v>
      </c>
      <c r="Z275" s="11">
        <v>43588</v>
      </c>
      <c r="AA275" s="12">
        <v>43577</v>
      </c>
      <c r="AB275" s="11">
        <v>43579</v>
      </c>
      <c r="AC275" s="12">
        <v>43582</v>
      </c>
      <c r="AD275" s="34"/>
      <c r="AE275" s="33">
        <f t="shared" si="44"/>
        <v>43575</v>
      </c>
      <c r="AF275" s="33">
        <f t="shared" si="45"/>
        <v>43583</v>
      </c>
      <c r="AG275" s="33">
        <f t="shared" si="46"/>
        <v>43591</v>
      </c>
      <c r="AH275">
        <v>340</v>
      </c>
      <c r="AK275" s="36" t="str">
        <f t="shared" si="47"/>
        <v/>
      </c>
      <c r="AL275" t="str">
        <f t="shared" si="48"/>
        <v/>
      </c>
      <c r="AM275" t="s">
        <v>393</v>
      </c>
      <c r="AN275">
        <f t="shared" si="49"/>
        <v>16</v>
      </c>
      <c r="AO275" t="str">
        <f t="shared" si="43"/>
        <v>20.4.---28.4.---6.5.</v>
      </c>
      <c r="AP275" t="str">
        <f t="shared" si="50"/>
        <v>Leppälintu</v>
      </c>
      <c r="AQ275" t="str">
        <f t="shared" si="51"/>
        <v>(20.4.---28.4.---6.5.)</v>
      </c>
    </row>
    <row r="276" spans="1:43" x14ac:dyDescent="0.2">
      <c r="A276" s="1"/>
      <c r="B276" s="9">
        <f t="shared" si="42"/>
        <v>270</v>
      </c>
      <c r="C276" s="10"/>
      <c r="D276" s="18" t="s">
        <v>269</v>
      </c>
      <c r="E276" s="10"/>
      <c r="F276" s="11">
        <v>43582</v>
      </c>
      <c r="G276" s="12">
        <v>43589</v>
      </c>
      <c r="H276" s="11">
        <v>43584</v>
      </c>
      <c r="I276" s="12">
        <v>43588</v>
      </c>
      <c r="J276" s="11">
        <v>43589</v>
      </c>
      <c r="K276" s="12">
        <v>43591</v>
      </c>
      <c r="L276" s="11">
        <v>43584</v>
      </c>
      <c r="M276" s="12">
        <v>43591</v>
      </c>
      <c r="N276" s="11">
        <v>43585</v>
      </c>
      <c r="O276" s="12">
        <v>43586</v>
      </c>
      <c r="P276" s="11">
        <v>43589</v>
      </c>
      <c r="Q276" s="12">
        <v>43579</v>
      </c>
      <c r="R276" s="11">
        <v>43575</v>
      </c>
      <c r="S276" s="12">
        <v>43581</v>
      </c>
      <c r="T276" s="11">
        <v>43587</v>
      </c>
      <c r="U276" s="12">
        <v>43586</v>
      </c>
      <c r="V276" s="11">
        <v>43585</v>
      </c>
      <c r="W276" s="12">
        <v>43591</v>
      </c>
      <c r="X276" s="11">
        <v>43589</v>
      </c>
      <c r="Y276" s="12">
        <v>43578</v>
      </c>
      <c r="Z276" s="11">
        <v>43587</v>
      </c>
      <c r="AA276" s="12">
        <v>43590</v>
      </c>
      <c r="AB276" s="11">
        <v>43589</v>
      </c>
      <c r="AC276" s="12">
        <v>43583</v>
      </c>
      <c r="AD276" s="34"/>
      <c r="AE276" s="33">
        <f t="shared" si="44"/>
        <v>43575</v>
      </c>
      <c r="AF276" s="33">
        <f t="shared" si="45"/>
        <v>43586</v>
      </c>
      <c r="AG276" s="33">
        <f t="shared" si="46"/>
        <v>43591</v>
      </c>
      <c r="AH276">
        <v>341</v>
      </c>
      <c r="AK276" s="36" t="str">
        <f t="shared" si="47"/>
        <v/>
      </c>
      <c r="AL276" t="str">
        <f t="shared" si="48"/>
        <v/>
      </c>
      <c r="AM276" t="s">
        <v>393</v>
      </c>
      <c r="AN276">
        <f t="shared" si="49"/>
        <v>16</v>
      </c>
      <c r="AO276" t="str">
        <f t="shared" si="43"/>
        <v>20.4.---1.5.---6.5.</v>
      </c>
      <c r="AP276" t="str">
        <f t="shared" si="50"/>
        <v>Pensastasku</v>
      </c>
      <c r="AQ276" t="str">
        <f t="shared" si="51"/>
        <v>(20.4.---1.5.---6.5.)</v>
      </c>
    </row>
    <row r="277" spans="1:43" x14ac:dyDescent="0.2">
      <c r="A277" s="1"/>
      <c r="B277" s="9">
        <f t="shared" si="42"/>
        <v>271</v>
      </c>
      <c r="C277" s="10"/>
      <c r="D277" s="19" t="s">
        <v>270</v>
      </c>
      <c r="E277" s="14"/>
      <c r="F277" s="11"/>
      <c r="G277" s="12"/>
      <c r="H277" s="11"/>
      <c r="I277" s="12">
        <v>43624</v>
      </c>
      <c r="J277" s="11"/>
      <c r="K277" s="12"/>
      <c r="L277" s="11"/>
      <c r="M277" s="12"/>
      <c r="N277" s="11">
        <v>43743</v>
      </c>
      <c r="O277" s="12"/>
      <c r="P277" s="11"/>
      <c r="Q277" s="12">
        <v>43718</v>
      </c>
      <c r="R277" s="11"/>
      <c r="S277" s="12">
        <v>43730</v>
      </c>
      <c r="T277" s="11">
        <v>43605</v>
      </c>
      <c r="U277" s="12">
        <v>43590</v>
      </c>
      <c r="V277" s="11"/>
      <c r="W277" s="12"/>
      <c r="X277" s="11"/>
      <c r="Y277" s="12">
        <v>43600</v>
      </c>
      <c r="Z277" s="11">
        <v>43589</v>
      </c>
      <c r="AA277" s="12">
        <v>43726</v>
      </c>
      <c r="AB277" s="11"/>
      <c r="AC277" s="12"/>
      <c r="AD277" s="34"/>
      <c r="AE277" s="33">
        <f t="shared" si="44"/>
        <v>43589</v>
      </c>
      <c r="AF277" s="33">
        <f t="shared" si="45"/>
        <v>43614.5</v>
      </c>
      <c r="AG277" s="33">
        <f t="shared" si="46"/>
        <v>43743</v>
      </c>
      <c r="AH277">
        <v>343</v>
      </c>
      <c r="AK277" s="36" t="str">
        <f t="shared" si="47"/>
        <v/>
      </c>
      <c r="AL277" t="str">
        <f t="shared" si="48"/>
        <v/>
      </c>
      <c r="AM277" t="s">
        <v>393</v>
      </c>
      <c r="AN277">
        <f t="shared" si="49"/>
        <v>154</v>
      </c>
      <c r="AO277" t="str">
        <f t="shared" si="43"/>
        <v>4.5.---29.5.---5.10.</v>
      </c>
      <c r="AP277" t="str">
        <f t="shared" si="50"/>
        <v>Sepeltasku</v>
      </c>
      <c r="AQ277" t="str">
        <f t="shared" si="51"/>
        <v>(4.5.---29.5.---5.10.)</v>
      </c>
    </row>
    <row r="278" spans="1:43" x14ac:dyDescent="0.2">
      <c r="A278" s="1"/>
      <c r="B278" s="9">
        <f t="shared" si="42"/>
        <v>272</v>
      </c>
      <c r="C278" s="10"/>
      <c r="D278" s="13" t="s">
        <v>271</v>
      </c>
      <c r="E278" s="14"/>
      <c r="F278" s="11"/>
      <c r="G278" s="12"/>
      <c r="H278" s="11"/>
      <c r="I278" s="12"/>
      <c r="J278" s="11"/>
      <c r="K278" s="12"/>
      <c r="L278" s="11">
        <v>43584</v>
      </c>
      <c r="M278" s="12"/>
      <c r="N278" s="11"/>
      <c r="O278" s="12"/>
      <c r="P278" s="11"/>
      <c r="Q278" s="12"/>
      <c r="R278" s="11"/>
      <c r="S278" s="12"/>
      <c r="T278" s="11"/>
      <c r="U278" s="12">
        <v>43667</v>
      </c>
      <c r="V278" s="11"/>
      <c r="W278" s="12">
        <v>43590</v>
      </c>
      <c r="X278" s="11"/>
      <c r="Y278" s="12"/>
      <c r="Z278" s="11"/>
      <c r="AA278" s="12">
        <v>43555</v>
      </c>
      <c r="AB278" s="11"/>
      <c r="AC278" s="12">
        <v>43570</v>
      </c>
      <c r="AD278" s="34"/>
      <c r="AE278" s="33">
        <f t="shared" si="44"/>
        <v>43584</v>
      </c>
      <c r="AF278" s="33">
        <f t="shared" si="45"/>
        <v>43590</v>
      </c>
      <c r="AG278" s="33">
        <f t="shared" si="46"/>
        <v>43667</v>
      </c>
      <c r="AH278">
        <v>344</v>
      </c>
      <c r="AK278" s="36" t="str">
        <f t="shared" si="47"/>
        <v/>
      </c>
      <c r="AL278" t="str">
        <f t="shared" si="48"/>
        <v/>
      </c>
      <c r="AM278" t="s">
        <v>393</v>
      </c>
      <c r="AN278">
        <f t="shared" si="49"/>
        <v>83</v>
      </c>
      <c r="AO278" t="str">
        <f t="shared" si="43"/>
        <v>29.4.---5.5.---21.7.</v>
      </c>
      <c r="AP278" t="str">
        <f t="shared" si="50"/>
        <v>Mustapäätasku</v>
      </c>
      <c r="AQ278" t="str">
        <f t="shared" si="51"/>
        <v>(29.4.---5.5.---21.7.)</v>
      </c>
    </row>
    <row r="279" spans="1:43" x14ac:dyDescent="0.2">
      <c r="A279" s="1"/>
      <c r="B279" s="9">
        <f t="shared" si="42"/>
        <v>273</v>
      </c>
      <c r="C279" s="10"/>
      <c r="D279" s="15" t="s">
        <v>272</v>
      </c>
      <c r="E279" s="16"/>
      <c r="F279" s="11"/>
      <c r="G279" s="12"/>
      <c r="H279" s="11"/>
      <c r="I279" s="12"/>
      <c r="J279" s="11"/>
      <c r="K279" s="12"/>
      <c r="L279" s="11"/>
      <c r="M279" s="12">
        <v>43744</v>
      </c>
      <c r="N279" s="11"/>
      <c r="O279" s="12"/>
      <c r="P279" s="11"/>
      <c r="Q279" s="12">
        <v>43696</v>
      </c>
      <c r="R279" s="11"/>
      <c r="S279" s="12"/>
      <c r="T279" s="11"/>
      <c r="U279" s="12"/>
      <c r="V279" s="11"/>
      <c r="W279" s="12"/>
      <c r="X279" s="11"/>
      <c r="Y279" s="12"/>
      <c r="Z279" s="11"/>
      <c r="AA279" s="12">
        <v>43751</v>
      </c>
      <c r="AB279" s="11"/>
      <c r="AC279" s="12"/>
      <c r="AD279" s="34"/>
      <c r="AE279" s="33">
        <f t="shared" si="44"/>
        <v>43696</v>
      </c>
      <c r="AF279" s="33">
        <f t="shared" si="45"/>
        <v>43720</v>
      </c>
      <c r="AG279" s="33">
        <f t="shared" si="46"/>
        <v>43744</v>
      </c>
      <c r="AH279">
        <v>345</v>
      </c>
      <c r="AK279" s="36" t="str">
        <f t="shared" si="47"/>
        <v/>
      </c>
      <c r="AL279" t="str">
        <f t="shared" si="48"/>
        <v/>
      </c>
      <c r="AM279" t="s">
        <v>393</v>
      </c>
      <c r="AN279">
        <f t="shared" si="49"/>
        <v>48</v>
      </c>
      <c r="AO279" t="str">
        <f t="shared" si="43"/>
        <v>19.8.---12.9.---6.10.</v>
      </c>
      <c r="AP279" t="str">
        <f t="shared" si="50"/>
        <v>Arotasku</v>
      </c>
      <c r="AQ279" t="str">
        <f t="shared" si="51"/>
        <v>(19.8.---12.9.---6.10.)</v>
      </c>
    </row>
    <row r="280" spans="1:43" x14ac:dyDescent="0.2">
      <c r="A280" s="1"/>
      <c r="B280" s="9">
        <f t="shared" si="42"/>
        <v>274</v>
      </c>
      <c r="C280" s="10"/>
      <c r="D280" s="9" t="s">
        <v>273</v>
      </c>
      <c r="E280" s="10"/>
      <c r="F280" s="11">
        <v>43572</v>
      </c>
      <c r="G280" s="12">
        <v>43576</v>
      </c>
      <c r="H280" s="11">
        <v>43577</v>
      </c>
      <c r="I280" s="12">
        <v>43576</v>
      </c>
      <c r="J280" s="11">
        <v>43564</v>
      </c>
      <c r="K280" s="12">
        <v>43570</v>
      </c>
      <c r="L280" s="11">
        <v>43571</v>
      </c>
      <c r="M280" s="12">
        <v>43572</v>
      </c>
      <c r="N280" s="11">
        <v>43572</v>
      </c>
      <c r="O280" s="12">
        <v>43568</v>
      </c>
      <c r="P280" s="11">
        <v>43562</v>
      </c>
      <c r="Q280" s="12">
        <v>43570</v>
      </c>
      <c r="R280" s="11">
        <v>43569</v>
      </c>
      <c r="S280" s="12">
        <v>43575</v>
      </c>
      <c r="T280" s="11">
        <v>43573</v>
      </c>
      <c r="U280" s="12">
        <v>43576</v>
      </c>
      <c r="V280" s="11">
        <v>43567</v>
      </c>
      <c r="W280" s="12">
        <v>43580</v>
      </c>
      <c r="X280" s="11">
        <v>43571</v>
      </c>
      <c r="Y280" s="12">
        <v>43574</v>
      </c>
      <c r="Z280" s="11">
        <v>43565</v>
      </c>
      <c r="AA280" s="12">
        <v>43570</v>
      </c>
      <c r="AB280" s="11">
        <v>43576</v>
      </c>
      <c r="AC280" s="12">
        <v>43570</v>
      </c>
      <c r="AD280" s="34"/>
      <c r="AE280" s="33">
        <f t="shared" si="44"/>
        <v>43562</v>
      </c>
      <c r="AF280" s="33">
        <f t="shared" si="45"/>
        <v>43572</v>
      </c>
      <c r="AG280" s="33">
        <f t="shared" si="46"/>
        <v>43580</v>
      </c>
      <c r="AH280">
        <v>346</v>
      </c>
      <c r="AK280" s="36" t="str">
        <f t="shared" si="47"/>
        <v/>
      </c>
      <c r="AL280" t="str">
        <f t="shared" si="48"/>
        <v/>
      </c>
      <c r="AM280" t="s">
        <v>393</v>
      </c>
      <c r="AN280">
        <f t="shared" si="49"/>
        <v>18</v>
      </c>
      <c r="AO280" t="str">
        <f t="shared" si="43"/>
        <v>7.4.---17.4.---25.4.</v>
      </c>
      <c r="AP280" t="str">
        <f t="shared" si="50"/>
        <v>Kivitasku</v>
      </c>
      <c r="AQ280" t="str">
        <f t="shared" si="51"/>
        <v>(7.4.---17.4.---25.4.)</v>
      </c>
    </row>
    <row r="281" spans="1:43" x14ac:dyDescent="0.2">
      <c r="A281" s="1"/>
      <c r="B281" s="9">
        <f t="shared" si="42"/>
        <v>275</v>
      </c>
      <c r="C281" s="10"/>
      <c r="D281" s="15" t="s">
        <v>274</v>
      </c>
      <c r="E281" s="16"/>
      <c r="F281" s="11"/>
      <c r="G281" s="12"/>
      <c r="H281" s="11"/>
      <c r="I281" s="12"/>
      <c r="J281" s="11">
        <v>43725</v>
      </c>
      <c r="K281" s="12"/>
      <c r="L281" s="11"/>
      <c r="M281" s="12"/>
      <c r="N281" s="11">
        <v>43776</v>
      </c>
      <c r="O281" s="12"/>
      <c r="P281" s="11">
        <v>43768</v>
      </c>
      <c r="Q281" s="12"/>
      <c r="R281" s="11"/>
      <c r="S281" s="12"/>
      <c r="T281" s="11">
        <v>43747</v>
      </c>
      <c r="U281" s="12"/>
      <c r="V281" s="11"/>
      <c r="W281" s="12"/>
      <c r="X281" s="11"/>
      <c r="Y281" s="12"/>
      <c r="Z281" s="11">
        <v>43742</v>
      </c>
      <c r="AA281" s="12">
        <v>43756</v>
      </c>
      <c r="AB281" s="11">
        <v>43599</v>
      </c>
      <c r="AC281" s="12"/>
      <c r="AD281" s="34"/>
      <c r="AE281" s="33">
        <f t="shared" si="44"/>
        <v>43725</v>
      </c>
      <c r="AF281" s="33">
        <f t="shared" si="45"/>
        <v>43747</v>
      </c>
      <c r="AG281" s="33">
        <f t="shared" si="46"/>
        <v>43776</v>
      </c>
      <c r="AH281">
        <v>347</v>
      </c>
      <c r="AK281" s="36" t="str">
        <f t="shared" si="47"/>
        <v/>
      </c>
      <c r="AL281" t="str">
        <f t="shared" si="48"/>
        <v/>
      </c>
      <c r="AM281" t="s">
        <v>393</v>
      </c>
      <c r="AN281">
        <f t="shared" si="49"/>
        <v>51</v>
      </c>
      <c r="AO281" t="str">
        <f t="shared" si="43"/>
        <v>17.9.---9.10.---7.11.</v>
      </c>
      <c r="AP281" t="str">
        <f t="shared" si="50"/>
        <v>Nunnatasku</v>
      </c>
      <c r="AQ281" t="str">
        <f t="shared" si="51"/>
        <v>(17.9.---9.10.---7.11.)</v>
      </c>
    </row>
    <row r="282" spans="1:43" x14ac:dyDescent="0.2">
      <c r="A282" s="1"/>
      <c r="B282" s="9">
        <f t="shared" si="42"/>
        <v>276</v>
      </c>
      <c r="C282" s="10"/>
      <c r="D282" s="19" t="s">
        <v>275</v>
      </c>
      <c r="E282" s="16"/>
      <c r="F282" s="11"/>
      <c r="G282" s="12"/>
      <c r="H282" s="11"/>
      <c r="I282" s="12">
        <v>43742</v>
      </c>
      <c r="J282" s="11"/>
      <c r="K282" s="12"/>
      <c r="L282" s="11"/>
      <c r="M282" s="12"/>
      <c r="N282" s="11"/>
      <c r="O282" s="12"/>
      <c r="P282" s="11"/>
      <c r="Q282" s="12">
        <v>43769</v>
      </c>
      <c r="R282" s="11"/>
      <c r="S282" s="12"/>
      <c r="T282" s="11"/>
      <c r="U282" s="12"/>
      <c r="V282" s="11">
        <v>43600</v>
      </c>
      <c r="W282" s="12"/>
      <c r="X282" s="11"/>
      <c r="Y282" s="12"/>
      <c r="Z282" s="11"/>
      <c r="AA282" s="12"/>
      <c r="AB282" s="11"/>
      <c r="AC282" s="12"/>
      <c r="AD282" s="34"/>
      <c r="AE282" s="33">
        <f t="shared" si="44"/>
        <v>43600</v>
      </c>
      <c r="AF282" s="33">
        <f t="shared" si="45"/>
        <v>43742</v>
      </c>
      <c r="AG282" s="33">
        <f t="shared" si="46"/>
        <v>43769</v>
      </c>
      <c r="AH282">
        <v>349</v>
      </c>
      <c r="AK282" s="36" t="str">
        <f t="shared" si="47"/>
        <v/>
      </c>
      <c r="AL282" t="str">
        <f t="shared" si="48"/>
        <v/>
      </c>
      <c r="AM282" t="s">
        <v>393</v>
      </c>
      <c r="AN282">
        <f t="shared" si="49"/>
        <v>169</v>
      </c>
      <c r="AO282" t="str">
        <f t="shared" si="43"/>
        <v>15.5.---4.10.---31.10.</v>
      </c>
      <c r="AP282" t="str">
        <f t="shared" si="50"/>
        <v>Aavikkotasku</v>
      </c>
      <c r="AQ282" t="str">
        <f t="shared" si="51"/>
        <v>(15.5.---4.10.---31.10.)</v>
      </c>
    </row>
    <row r="283" spans="1:43" x14ac:dyDescent="0.2">
      <c r="A283" s="1"/>
      <c r="B283" s="9">
        <f t="shared" si="42"/>
        <v>277</v>
      </c>
      <c r="C283" s="10"/>
      <c r="D283" s="15" t="s">
        <v>276</v>
      </c>
      <c r="E283" s="16"/>
      <c r="F283" s="11"/>
      <c r="G283" s="12"/>
      <c r="H283" s="11"/>
      <c r="I283" s="12"/>
      <c r="J283" s="11"/>
      <c r="K283" s="12"/>
      <c r="L283" s="11"/>
      <c r="M283" s="12"/>
      <c r="N283" s="11"/>
      <c r="O283" s="12"/>
      <c r="P283" s="11"/>
      <c r="Q283" s="12"/>
      <c r="R283" s="11"/>
      <c r="S283" s="12"/>
      <c r="T283" s="11"/>
      <c r="U283" s="12"/>
      <c r="V283" s="11"/>
      <c r="W283" s="12"/>
      <c r="X283" s="11"/>
      <c r="Y283" s="12"/>
      <c r="Z283" s="11"/>
      <c r="AA283" s="12"/>
      <c r="AB283" s="11"/>
      <c r="AC283" s="12"/>
      <c r="AD283" s="34"/>
      <c r="AE283" s="33" t="str">
        <f t="shared" si="44"/>
        <v/>
      </c>
      <c r="AF283" s="33" t="str">
        <f t="shared" si="45"/>
        <v/>
      </c>
      <c r="AG283" s="33" t="str">
        <f t="shared" si="46"/>
        <v/>
      </c>
      <c r="AH283">
        <v>350</v>
      </c>
      <c r="AK283" s="36" t="str">
        <f t="shared" si="47"/>
        <v/>
      </c>
      <c r="AL283" t="str">
        <f t="shared" si="48"/>
        <v/>
      </c>
      <c r="AM283" t="s">
        <v>393</v>
      </c>
      <c r="AN283" t="e">
        <f t="shared" si="49"/>
        <v>#VALUE!</v>
      </c>
      <c r="AO283" t="str">
        <f t="shared" si="43"/>
        <v>------</v>
      </c>
      <c r="AP283" t="str">
        <f t="shared" si="50"/>
        <v>Kivikkorastas</v>
      </c>
      <c r="AQ283" t="str">
        <f t="shared" si="51"/>
        <v>(------)</v>
      </c>
    </row>
    <row r="284" spans="1:43" x14ac:dyDescent="0.2">
      <c r="A284" s="1"/>
      <c r="B284" s="9">
        <f t="shared" si="42"/>
        <v>278</v>
      </c>
      <c r="C284" s="10"/>
      <c r="D284" s="15" t="s">
        <v>277</v>
      </c>
      <c r="E284" s="16"/>
      <c r="F284" s="11"/>
      <c r="G284" s="12"/>
      <c r="H284" s="11"/>
      <c r="I284" s="12"/>
      <c r="J284" s="11"/>
      <c r="K284" s="12"/>
      <c r="L284" s="11"/>
      <c r="M284" s="12"/>
      <c r="N284" s="11"/>
      <c r="O284" s="12"/>
      <c r="P284" s="11"/>
      <c r="Q284" s="12"/>
      <c r="R284" s="11"/>
      <c r="S284" s="12"/>
      <c r="T284" s="11"/>
      <c r="U284" s="12"/>
      <c r="V284" s="11"/>
      <c r="W284" s="12"/>
      <c r="X284" s="11"/>
      <c r="Y284" s="12"/>
      <c r="Z284" s="11"/>
      <c r="AA284" s="12"/>
      <c r="AB284" s="11"/>
      <c r="AC284" s="12"/>
      <c r="AD284" s="34"/>
      <c r="AE284" s="33" t="str">
        <f t="shared" si="44"/>
        <v/>
      </c>
      <c r="AF284" s="33" t="str">
        <f t="shared" si="45"/>
        <v/>
      </c>
      <c r="AG284" s="33" t="str">
        <f t="shared" si="46"/>
        <v/>
      </c>
      <c r="AH284">
        <v>352</v>
      </c>
      <c r="AK284" s="36" t="str">
        <f t="shared" si="47"/>
        <v/>
      </c>
      <c r="AL284" t="str">
        <f t="shared" si="48"/>
        <v/>
      </c>
      <c r="AM284" t="s">
        <v>393</v>
      </c>
      <c r="AN284" t="e">
        <f t="shared" si="49"/>
        <v>#VALUE!</v>
      </c>
      <c r="AO284" t="str">
        <f t="shared" si="43"/>
        <v>------</v>
      </c>
      <c r="AP284" t="str">
        <f t="shared" si="50"/>
        <v>Kirjorastas</v>
      </c>
      <c r="AQ284" t="str">
        <f t="shared" si="51"/>
        <v>(------)</v>
      </c>
    </row>
    <row r="285" spans="1:43" x14ac:dyDescent="0.2">
      <c r="A285" s="1"/>
      <c r="B285" s="9">
        <f t="shared" si="42"/>
        <v>279</v>
      </c>
      <c r="C285" s="10"/>
      <c r="D285" s="9" t="s">
        <v>278</v>
      </c>
      <c r="E285" s="10"/>
      <c r="F285" s="11">
        <v>43571</v>
      </c>
      <c r="G285" s="12">
        <v>43592</v>
      </c>
      <c r="H285" s="11">
        <v>43579</v>
      </c>
      <c r="I285" s="12">
        <v>43573</v>
      </c>
      <c r="J285" s="11">
        <v>43571</v>
      </c>
      <c r="K285" s="12">
        <v>43569</v>
      </c>
      <c r="L285" s="11">
        <v>43576</v>
      </c>
      <c r="M285" s="12">
        <v>43577</v>
      </c>
      <c r="N285" s="11">
        <v>43580</v>
      </c>
      <c r="O285" s="12">
        <v>43566</v>
      </c>
      <c r="P285" s="11">
        <v>43580</v>
      </c>
      <c r="Q285" s="12">
        <v>43577</v>
      </c>
      <c r="R285" s="11">
        <v>43573</v>
      </c>
      <c r="S285" s="12">
        <v>43577</v>
      </c>
      <c r="T285" s="11">
        <v>43567</v>
      </c>
      <c r="U285" s="12">
        <v>43552</v>
      </c>
      <c r="V285" s="11">
        <v>43568</v>
      </c>
      <c r="W285" s="12">
        <v>43582</v>
      </c>
      <c r="X285" s="11">
        <v>43570</v>
      </c>
      <c r="Y285" s="12">
        <v>43576</v>
      </c>
      <c r="Z285" s="11">
        <v>43571</v>
      </c>
      <c r="AA285" s="12">
        <v>43571</v>
      </c>
      <c r="AB285" s="11">
        <v>43578</v>
      </c>
      <c r="AC285" s="12">
        <v>43568</v>
      </c>
      <c r="AD285" s="34"/>
      <c r="AE285" s="33">
        <f t="shared" si="44"/>
        <v>43552</v>
      </c>
      <c r="AF285" s="33">
        <f t="shared" si="45"/>
        <v>43573</v>
      </c>
      <c r="AG285" s="33">
        <f t="shared" si="46"/>
        <v>43592</v>
      </c>
      <c r="AH285">
        <v>354</v>
      </c>
      <c r="AK285" s="36" t="str">
        <f t="shared" si="47"/>
        <v/>
      </c>
      <c r="AL285" t="str">
        <f t="shared" si="48"/>
        <v/>
      </c>
      <c r="AM285" t="s">
        <v>393</v>
      </c>
      <c r="AN285">
        <f t="shared" si="49"/>
        <v>40</v>
      </c>
      <c r="AO285" t="str">
        <f t="shared" si="43"/>
        <v>28.3.---18.4.---7.5.</v>
      </c>
      <c r="AP285" t="str">
        <f t="shared" si="50"/>
        <v>Sepelrastas</v>
      </c>
      <c r="AQ285" t="str">
        <f t="shared" si="51"/>
        <v>(28.3.---18.4.---7.5.)</v>
      </c>
    </row>
    <row r="286" spans="1:43" x14ac:dyDescent="0.2">
      <c r="A286" s="1"/>
      <c r="B286" s="9">
        <f t="shared" si="42"/>
        <v>280</v>
      </c>
      <c r="C286" s="10"/>
      <c r="D286" s="9" t="s">
        <v>279</v>
      </c>
      <c r="E286" s="10"/>
      <c r="F286" s="11">
        <f>IF(AG1,DATE(2019,1,1),DATE(2019,3,31))</f>
        <v>43555</v>
      </c>
      <c r="G286" s="12">
        <f>IF(AG1,DATE(2019,1,1),DATE(2019,3,31))</f>
        <v>43555</v>
      </c>
      <c r="H286" s="11">
        <f>IF(AG1,DATE(2019,1,6),DATE(2019,3,29))</f>
        <v>43553</v>
      </c>
      <c r="I286" s="12">
        <f>IF(AG1,DATE(2019,1,1),DATE(2019,3,29))</f>
        <v>43553</v>
      </c>
      <c r="J286" s="11">
        <f>IF(AG1,DATE(2019,1,1),DATE(2019,3,17))</f>
        <v>43541</v>
      </c>
      <c r="K286" s="12">
        <f>IF(AG1,DATE(2019,1,1),DATE(2019,3,31))</f>
        <v>43555</v>
      </c>
      <c r="L286" s="11">
        <f>IF(AG1,DATE(2019,1,1),DATE(2019,3,20))</f>
        <v>43544</v>
      </c>
      <c r="M286" s="12">
        <v>43466</v>
      </c>
      <c r="N286" s="11">
        <v>43466</v>
      </c>
      <c r="O286" s="12">
        <v>43466</v>
      </c>
      <c r="P286" s="11">
        <v>43466</v>
      </c>
      <c r="Q286" s="12">
        <v>43466</v>
      </c>
      <c r="R286" s="11">
        <f>IF(AG1,DATE(2019,1,1),DATE(2019,3,8))</f>
        <v>43532</v>
      </c>
      <c r="S286" s="12">
        <v>43466</v>
      </c>
      <c r="T286" s="11">
        <v>43466</v>
      </c>
      <c r="U286" s="12">
        <v>43466</v>
      </c>
      <c r="V286" s="11">
        <f>IF(AG1,DATE(2019,1,1),DATE(2019,3,15))</f>
        <v>43539</v>
      </c>
      <c r="W286" s="12">
        <v>43466</v>
      </c>
      <c r="X286" s="11">
        <v>43466</v>
      </c>
      <c r="Y286" s="12">
        <f>IF(AG1,DATE(2019,1,1),DATE(2019,3,23))</f>
        <v>43547</v>
      </c>
      <c r="Z286" s="11">
        <v>43466</v>
      </c>
      <c r="AA286" s="12">
        <v>43466</v>
      </c>
      <c r="AB286" s="11">
        <v>43466</v>
      </c>
      <c r="AC286" s="12">
        <v>43466</v>
      </c>
      <c r="AD286" s="34"/>
      <c r="AE286" s="33">
        <f t="shared" si="44"/>
        <v>43466</v>
      </c>
      <c r="AF286" s="33">
        <f t="shared" si="45"/>
        <v>43466</v>
      </c>
      <c r="AG286" s="33">
        <f t="shared" si="46"/>
        <v>43555</v>
      </c>
      <c r="AH286">
        <v>355</v>
      </c>
      <c r="AK286" s="36" t="str">
        <f t="shared" si="47"/>
        <v/>
      </c>
      <c r="AL286">
        <f t="shared" si="48"/>
        <v>11</v>
      </c>
      <c r="AM286">
        <v>21</v>
      </c>
      <c r="AN286">
        <f t="shared" si="49"/>
        <v>89</v>
      </c>
      <c r="AO286" t="str">
        <f t="shared" si="43"/>
        <v>1.1.---1.1.---31.3.</v>
      </c>
      <c r="AP286" t="str">
        <f t="shared" si="50"/>
        <v>Mustarastas</v>
      </c>
      <c r="AQ286" t="str">
        <f t="shared" si="51"/>
        <v>(1.1.---1.1.---31.3., 21/21)</v>
      </c>
    </row>
    <row r="287" spans="1:43" x14ac:dyDescent="0.2">
      <c r="A287" s="1"/>
      <c r="B287" s="9">
        <f t="shared" si="42"/>
        <v>281</v>
      </c>
      <c r="C287" s="10"/>
      <c r="D287" s="15" t="s">
        <v>280</v>
      </c>
      <c r="E287" s="16"/>
      <c r="F287" s="11"/>
      <c r="G287" s="12"/>
      <c r="H287" s="11"/>
      <c r="I287" s="12"/>
      <c r="J287" s="11"/>
      <c r="K287" s="12"/>
      <c r="L287" s="11"/>
      <c r="M287" s="12"/>
      <c r="N287" s="11"/>
      <c r="O287" s="12"/>
      <c r="P287" s="11"/>
      <c r="Q287" s="12"/>
      <c r="R287" s="11"/>
      <c r="S287" s="12"/>
      <c r="T287" s="11"/>
      <c r="U287" s="12"/>
      <c r="V287" s="11"/>
      <c r="W287" s="12"/>
      <c r="X287" s="11"/>
      <c r="Y287" s="12"/>
      <c r="Z287" s="11"/>
      <c r="AA287" s="12"/>
      <c r="AB287" s="11"/>
      <c r="AC287" s="12"/>
      <c r="AD287" s="34"/>
      <c r="AE287" s="33" t="str">
        <f t="shared" si="44"/>
        <v/>
      </c>
      <c r="AF287" s="33" t="str">
        <f t="shared" si="45"/>
        <v/>
      </c>
      <c r="AG287" s="33" t="str">
        <f t="shared" si="46"/>
        <v/>
      </c>
      <c r="AH287">
        <v>356</v>
      </c>
      <c r="AK287" s="36" t="str">
        <f t="shared" si="47"/>
        <v/>
      </c>
      <c r="AL287" t="str">
        <f t="shared" si="48"/>
        <v/>
      </c>
      <c r="AM287" t="s">
        <v>393</v>
      </c>
      <c r="AN287" t="e">
        <f t="shared" si="49"/>
        <v>#VALUE!</v>
      </c>
      <c r="AO287" t="str">
        <f t="shared" si="43"/>
        <v>------</v>
      </c>
      <c r="AP287" t="str">
        <f t="shared" si="50"/>
        <v>Harmaakurkkurastas</v>
      </c>
      <c r="AQ287" t="str">
        <f t="shared" si="51"/>
        <v>(------)</v>
      </c>
    </row>
    <row r="288" spans="1:43" x14ac:dyDescent="0.2">
      <c r="A288" s="1"/>
      <c r="B288" s="9">
        <f t="shared" si="42"/>
        <v>282</v>
      </c>
      <c r="C288" s="10"/>
      <c r="D288" s="15" t="s">
        <v>281</v>
      </c>
      <c r="E288" s="16"/>
      <c r="F288" s="11"/>
      <c r="G288" s="12"/>
      <c r="H288" s="11"/>
      <c r="I288" s="12"/>
      <c r="J288" s="11"/>
      <c r="K288" s="12">
        <v>43826</v>
      </c>
      <c r="L288" s="11">
        <v>43480</v>
      </c>
      <c r="M288" s="12"/>
      <c r="N288" s="11"/>
      <c r="O288" s="12"/>
      <c r="P288" s="11"/>
      <c r="Q288" s="12"/>
      <c r="R288" s="11"/>
      <c r="S288" s="12"/>
      <c r="T288" s="11"/>
      <c r="U288" s="12"/>
      <c r="V288" s="11"/>
      <c r="W288" s="12"/>
      <c r="X288" s="11"/>
      <c r="Y288" s="12"/>
      <c r="Z288" s="11"/>
      <c r="AA288" s="12"/>
      <c r="AB288" s="11"/>
      <c r="AC288" s="12"/>
      <c r="AD288" s="34"/>
      <c r="AE288" s="33">
        <f t="shared" si="44"/>
        <v>43480</v>
      </c>
      <c r="AF288" s="33">
        <f t="shared" si="45"/>
        <v>43653</v>
      </c>
      <c r="AG288" s="33">
        <f t="shared" si="46"/>
        <v>43826</v>
      </c>
      <c r="AH288">
        <v>358</v>
      </c>
      <c r="AK288" s="36" t="str">
        <f t="shared" si="47"/>
        <v/>
      </c>
      <c r="AL288">
        <f t="shared" si="48"/>
        <v>1</v>
      </c>
      <c r="AM288">
        <v>1</v>
      </c>
      <c r="AN288">
        <f t="shared" si="49"/>
        <v>346</v>
      </c>
      <c r="AO288" t="str">
        <f t="shared" si="43"/>
        <v>15.1.---7.7.---27.12.</v>
      </c>
      <c r="AP288" t="str">
        <f t="shared" si="50"/>
        <v>Ruostesiipirastas</v>
      </c>
      <c r="AQ288" t="str">
        <f t="shared" si="51"/>
        <v>(15.1.---7.7.---27.12., 1/21)</v>
      </c>
    </row>
    <row r="289" spans="1:43" x14ac:dyDescent="0.2">
      <c r="A289" s="1"/>
      <c r="B289" s="9">
        <f t="shared" si="42"/>
        <v>283</v>
      </c>
      <c r="C289" s="10"/>
      <c r="D289" s="15" t="s">
        <v>282</v>
      </c>
      <c r="E289" s="16"/>
      <c r="F289" s="11"/>
      <c r="G289" s="12"/>
      <c r="H289" s="11"/>
      <c r="I289" s="12"/>
      <c r="J289" s="11"/>
      <c r="K289" s="12"/>
      <c r="L289" s="11"/>
      <c r="M289" s="12">
        <v>43480</v>
      </c>
      <c r="N289" s="11">
        <v>43743</v>
      </c>
      <c r="O289" s="12">
        <v>43565</v>
      </c>
      <c r="P289" s="11"/>
      <c r="Q289" s="12"/>
      <c r="R289" s="11"/>
      <c r="S289" s="12"/>
      <c r="T289" s="11"/>
      <c r="U289" s="12">
        <v>43750</v>
      </c>
      <c r="V289" s="11">
        <v>43764</v>
      </c>
      <c r="W289" s="12"/>
      <c r="X289" s="11"/>
      <c r="Y289" s="12"/>
      <c r="Z289" s="11">
        <v>43500</v>
      </c>
      <c r="AA289" s="12"/>
      <c r="AB289" s="11">
        <v>43595</v>
      </c>
      <c r="AC289" s="12"/>
      <c r="AD289" s="34"/>
      <c r="AE289" s="33">
        <f t="shared" si="44"/>
        <v>43480</v>
      </c>
      <c r="AF289" s="33">
        <f t="shared" si="45"/>
        <v>43654</v>
      </c>
      <c r="AG289" s="33">
        <f t="shared" si="46"/>
        <v>43764</v>
      </c>
      <c r="AH289">
        <v>359</v>
      </c>
      <c r="AK289" s="36" t="str">
        <f t="shared" si="47"/>
        <v/>
      </c>
      <c r="AL289">
        <f t="shared" si="48"/>
        <v>2</v>
      </c>
      <c r="AM289">
        <v>2</v>
      </c>
      <c r="AN289">
        <f t="shared" si="49"/>
        <v>284</v>
      </c>
      <c r="AO289" t="str">
        <f t="shared" si="43"/>
        <v>15.1.---8.7.---26.10.</v>
      </c>
      <c r="AP289" t="str">
        <f t="shared" si="50"/>
        <v>Mustakaularastas</v>
      </c>
      <c r="AQ289" t="str">
        <f t="shared" si="51"/>
        <v>(15.1.---8.7.---26.10., 2/21)</v>
      </c>
    </row>
    <row r="290" spans="1:43" x14ac:dyDescent="0.2">
      <c r="A290" s="1"/>
      <c r="B290" s="9">
        <f t="shared" si="42"/>
        <v>284</v>
      </c>
      <c r="C290" s="10"/>
      <c r="D290" s="9" t="s">
        <v>283</v>
      </c>
      <c r="E290" s="10"/>
      <c r="F290" s="11">
        <f>IF(AG1,DATE(2019,1,18),DATE(2019,3,30))</f>
        <v>43554</v>
      </c>
      <c r="G290" s="12">
        <f>IF(AG1,DATE(2019,1,1),DATE(2019,4,12))</f>
        <v>43567</v>
      </c>
      <c r="H290" s="11">
        <f>IF(AG1,DATE(2019,1,8),DATE(2019,3,16))</f>
        <v>43540</v>
      </c>
      <c r="I290" s="12">
        <v>43466</v>
      </c>
      <c r="J290" s="11">
        <f>IF(AG1,DATE(2019,1,1),DATE(2019,3,19))</f>
        <v>43543</v>
      </c>
      <c r="K290" s="12">
        <f>IF(AG1,DATE(2019,1,1),DATE(2019,4,2))</f>
        <v>43557</v>
      </c>
      <c r="L290" s="11">
        <f>IF(AG1,DATE(2019,1,1),DATE(2019,4,16))</f>
        <v>43571</v>
      </c>
      <c r="M290" s="12">
        <v>43466</v>
      </c>
      <c r="N290" s="11">
        <v>43466</v>
      </c>
      <c r="O290" s="12">
        <v>43466</v>
      </c>
      <c r="P290" s="11">
        <v>43466</v>
      </c>
      <c r="Q290" s="12">
        <v>43466</v>
      </c>
      <c r="R290" s="11">
        <f>IF(AG1,DATE(2019,1,1),DATE(2019,4,12))</f>
        <v>43567</v>
      </c>
      <c r="S290" s="12">
        <v>43466</v>
      </c>
      <c r="T290" s="11">
        <f>IF(AG1,DATE(2019,1,1),DATE(2019,3,22))</f>
        <v>43546</v>
      </c>
      <c r="U290" s="12">
        <f>IF(AG1,DATE(2019,1,1),DATE(2019,4,5))</f>
        <v>43560</v>
      </c>
      <c r="V290" s="11">
        <f>IF(AG1,DATE(2019,1,1),DATE(2019,3,27))</f>
        <v>43551</v>
      </c>
      <c r="W290" s="12">
        <f>IF(AG1,DATE(2019,1,2),DATE(2019,4,4))</f>
        <v>43559</v>
      </c>
      <c r="X290" s="11">
        <v>43466</v>
      </c>
      <c r="Y290" s="12">
        <f>IF(AG1,DATE(2019,1,1),DATE(2019,4,2))</f>
        <v>43557</v>
      </c>
      <c r="Z290" s="11">
        <v>43466</v>
      </c>
      <c r="AA290" s="12">
        <v>43466</v>
      </c>
      <c r="AB290" s="11">
        <v>43466</v>
      </c>
      <c r="AC290" s="12">
        <v>43466</v>
      </c>
      <c r="AD290" s="34"/>
      <c r="AE290" s="33">
        <f t="shared" si="44"/>
        <v>43466</v>
      </c>
      <c r="AF290" s="33">
        <f t="shared" si="45"/>
        <v>43543</v>
      </c>
      <c r="AG290" s="33">
        <f t="shared" si="46"/>
        <v>43571</v>
      </c>
      <c r="AH290">
        <v>360</v>
      </c>
      <c r="AK290" s="36" t="str">
        <f t="shared" si="47"/>
        <v/>
      </c>
      <c r="AL290">
        <f t="shared" si="48"/>
        <v>9</v>
      </c>
      <c r="AM290">
        <v>21</v>
      </c>
      <c r="AN290">
        <f t="shared" si="49"/>
        <v>105</v>
      </c>
      <c r="AO290" t="str">
        <f t="shared" si="43"/>
        <v>1.1.---19.3.---16.4.</v>
      </c>
      <c r="AP290" t="str">
        <f t="shared" si="50"/>
        <v>Räkättirastas</v>
      </c>
      <c r="AQ290" t="str">
        <f t="shared" si="51"/>
        <v>(1.1.---19.3.---16.4., 21/21)</v>
      </c>
    </row>
    <row r="291" spans="1:43" x14ac:dyDescent="0.2">
      <c r="A291" s="1"/>
      <c r="B291" s="9">
        <f t="shared" si="42"/>
        <v>285</v>
      </c>
      <c r="C291" s="10"/>
      <c r="D291" s="9" t="s">
        <v>284</v>
      </c>
      <c r="E291" s="10"/>
      <c r="F291" s="11">
        <v>43573</v>
      </c>
      <c r="G291" s="12">
        <v>43569</v>
      </c>
      <c r="H291" s="11">
        <v>43574</v>
      </c>
      <c r="I291" s="12">
        <v>43576</v>
      </c>
      <c r="J291" s="11">
        <v>43571</v>
      </c>
      <c r="K291" s="12">
        <v>43560</v>
      </c>
      <c r="L291" s="11">
        <v>43571</v>
      </c>
      <c r="M291" s="12">
        <v>43569</v>
      </c>
      <c r="N291" s="11">
        <v>43559</v>
      </c>
      <c r="O291" s="12">
        <v>43567</v>
      </c>
      <c r="P291" s="11">
        <v>43563</v>
      </c>
      <c r="Q291" s="12">
        <v>43565</v>
      </c>
      <c r="R291" s="11">
        <v>43575</v>
      </c>
      <c r="S291" s="12">
        <v>43575</v>
      </c>
      <c r="T291" s="11">
        <v>43567</v>
      </c>
      <c r="U291" s="12">
        <f>IF(AG1,DATE(2019,1,14),DATE(2019,4,1))</f>
        <v>43556</v>
      </c>
      <c r="V291" s="11">
        <v>43562</v>
      </c>
      <c r="W291" s="12">
        <v>43557</v>
      </c>
      <c r="X291" s="11">
        <f>IF(AG1,DATE(2019,1,5),DATE(2019,4,13))</f>
        <v>43568</v>
      </c>
      <c r="Y291" s="12">
        <v>43562</v>
      </c>
      <c r="Z291" s="11">
        <f>IF(AG1,DATE(2019,1,26),DATE(2019,3,21))</f>
        <v>43545</v>
      </c>
      <c r="AA291" s="12">
        <v>43562</v>
      </c>
      <c r="AB291" s="11">
        <v>43567</v>
      </c>
      <c r="AC291" s="12">
        <v>43566</v>
      </c>
      <c r="AD291" s="34"/>
      <c r="AE291" s="33">
        <f t="shared" si="44"/>
        <v>43545</v>
      </c>
      <c r="AF291" s="33">
        <f t="shared" si="45"/>
        <v>43567</v>
      </c>
      <c r="AG291" s="33">
        <f t="shared" si="46"/>
        <v>43576</v>
      </c>
      <c r="AH291">
        <v>361</v>
      </c>
      <c r="AK291" s="36" t="str">
        <f t="shared" si="47"/>
        <v/>
      </c>
      <c r="AL291" t="str">
        <f t="shared" si="48"/>
        <v/>
      </c>
      <c r="AM291">
        <v>3</v>
      </c>
      <c r="AN291">
        <f t="shared" si="49"/>
        <v>31</v>
      </c>
      <c r="AO291" t="str">
        <f t="shared" si="43"/>
        <v>21.3.---12.4.---21.4.</v>
      </c>
      <c r="AP291" t="str">
        <f t="shared" si="50"/>
        <v>Laulurastas</v>
      </c>
      <c r="AQ291" t="str">
        <f t="shared" si="51"/>
        <v>(21.3.---12.4.---21.4., 3/21)</v>
      </c>
    </row>
    <row r="292" spans="1:43" x14ac:dyDescent="0.2">
      <c r="A292" s="1"/>
      <c r="B292" s="9">
        <f t="shared" si="42"/>
        <v>286</v>
      </c>
      <c r="C292" s="10"/>
      <c r="D292" s="9" t="s">
        <v>285</v>
      </c>
      <c r="E292" s="10"/>
      <c r="F292" s="11">
        <v>43570</v>
      </c>
      <c r="G292" s="12">
        <f>IF(AG1,DATE(2019,1,5),DATE(2019,4,8))</f>
        <v>43563</v>
      </c>
      <c r="H292" s="11">
        <v>43572</v>
      </c>
      <c r="I292" s="12">
        <f>IF(AG1,DATE(2019,1,2),DATE(2019,4,19))</f>
        <v>43574</v>
      </c>
      <c r="J292" s="11">
        <f>IF(AG1,DATE(2019,1,2),DATE(2019,4,5))</f>
        <v>43560</v>
      </c>
      <c r="K292" s="12">
        <v>43559</v>
      </c>
      <c r="L292" s="11">
        <f>IF(AG1,DATE(2019,1,8),DATE(2019,4,16))</f>
        <v>43571</v>
      </c>
      <c r="M292" s="12">
        <f>IF(AG1,DATE(2019,1,3),DATE(2019,3,24))</f>
        <v>43548</v>
      </c>
      <c r="N292" s="11">
        <v>43561</v>
      </c>
      <c r="O292" s="12">
        <f>IF(AG1,DATE(2019,1,1),DATE(2019,4,8))</f>
        <v>43563</v>
      </c>
      <c r="P292" s="11">
        <v>43563</v>
      </c>
      <c r="Q292" s="12">
        <v>43563</v>
      </c>
      <c r="R292" s="11">
        <v>43567</v>
      </c>
      <c r="S292" s="12">
        <v>43572</v>
      </c>
      <c r="T292" s="11">
        <v>43565</v>
      </c>
      <c r="U292" s="12">
        <f>IF(AG1,DATE(2019,1,1),DATE(2019,4,9))</f>
        <v>43564</v>
      </c>
      <c r="V292" s="11">
        <f>IF(AG1,DATE(2019,2,28),DATE(2019,3,29))</f>
        <v>43553</v>
      </c>
      <c r="W292" s="12">
        <f>IF(AG1,DATE(2019,1,7),DATE(2019,4,9))</f>
        <v>43564</v>
      </c>
      <c r="X292" s="11">
        <f>IF(AG1,DATE(2019,1,1),DATE(2019,4,15))</f>
        <v>43570</v>
      </c>
      <c r="Y292" s="12">
        <v>43562</v>
      </c>
      <c r="Z292" s="11">
        <f>IF(AG1,DATE(2019,1,5),DATE(2019,3,27))</f>
        <v>43551</v>
      </c>
      <c r="AA292" s="12">
        <f>IF(AG1,DATE(2019,1,2),DATE(2019,4,12))</f>
        <v>43567</v>
      </c>
      <c r="AB292" s="11">
        <v>43569</v>
      </c>
      <c r="AC292" s="12">
        <v>43565</v>
      </c>
      <c r="AD292" s="34"/>
      <c r="AE292" s="33">
        <f t="shared" si="44"/>
        <v>43548</v>
      </c>
      <c r="AF292" s="33">
        <f t="shared" si="45"/>
        <v>43563</v>
      </c>
      <c r="AG292" s="33">
        <f t="shared" si="46"/>
        <v>43574</v>
      </c>
      <c r="AH292">
        <v>362</v>
      </c>
      <c r="AK292" s="36" t="str">
        <f t="shared" si="47"/>
        <v/>
      </c>
      <c r="AL292" t="str">
        <f t="shared" si="48"/>
        <v/>
      </c>
      <c r="AM292">
        <v>11</v>
      </c>
      <c r="AN292">
        <f t="shared" si="49"/>
        <v>26</v>
      </c>
      <c r="AO292" t="str">
        <f t="shared" si="43"/>
        <v>24.3.---8.4.---19.4.</v>
      </c>
      <c r="AP292" t="str">
        <f t="shared" si="50"/>
        <v>Punakylkirastas</v>
      </c>
      <c r="AQ292" t="str">
        <f t="shared" si="51"/>
        <v>(24.3.---8.4.---19.4., 11/21)</v>
      </c>
    </row>
    <row r="293" spans="1:43" x14ac:dyDescent="0.2">
      <c r="A293" s="1"/>
      <c r="B293" s="9">
        <f t="shared" si="42"/>
        <v>287</v>
      </c>
      <c r="C293" s="10"/>
      <c r="D293" s="9" t="s">
        <v>286</v>
      </c>
      <c r="E293" s="10"/>
      <c r="F293" s="11">
        <v>43568</v>
      </c>
      <c r="G293" s="12">
        <v>43562</v>
      </c>
      <c r="H293" s="11">
        <v>43567</v>
      </c>
      <c r="I293" s="12">
        <v>43570</v>
      </c>
      <c r="J293" s="11">
        <v>43560</v>
      </c>
      <c r="K293" s="12">
        <v>43559</v>
      </c>
      <c r="L293" s="11">
        <v>43562</v>
      </c>
      <c r="M293" s="12">
        <v>43549</v>
      </c>
      <c r="N293" s="11">
        <v>43554</v>
      </c>
      <c r="O293" s="12">
        <v>43563</v>
      </c>
      <c r="P293" s="11">
        <v>43557</v>
      </c>
      <c r="Q293" s="12">
        <v>43558</v>
      </c>
      <c r="R293" s="11">
        <v>43552</v>
      </c>
      <c r="S293" s="12">
        <v>43573</v>
      </c>
      <c r="T293" s="11">
        <v>43546</v>
      </c>
      <c r="U293" s="12">
        <f>IF(AG1,DATE(2019,1,24),DATE(2019,3,18))</f>
        <v>43542</v>
      </c>
      <c r="V293" s="11">
        <v>43552</v>
      </c>
      <c r="W293" s="12">
        <v>43560</v>
      </c>
      <c r="X293" s="11">
        <v>43567</v>
      </c>
      <c r="Y293" s="12">
        <v>43551</v>
      </c>
      <c r="Z293" s="45">
        <v>43548</v>
      </c>
      <c r="AA293" s="12">
        <v>43553</v>
      </c>
      <c r="AB293" s="11">
        <v>43554</v>
      </c>
      <c r="AC293" s="12">
        <v>43562</v>
      </c>
      <c r="AD293" s="34"/>
      <c r="AE293" s="33">
        <f t="shared" si="44"/>
        <v>43542</v>
      </c>
      <c r="AF293" s="33">
        <f t="shared" si="45"/>
        <v>43559</v>
      </c>
      <c r="AG293" s="33">
        <f t="shared" si="46"/>
        <v>43573</v>
      </c>
      <c r="AH293">
        <v>363</v>
      </c>
      <c r="AK293" s="36" t="str">
        <f t="shared" si="47"/>
        <v/>
      </c>
      <c r="AL293" t="str">
        <f t="shared" si="48"/>
        <v/>
      </c>
      <c r="AM293">
        <v>1</v>
      </c>
      <c r="AN293">
        <f t="shared" si="49"/>
        <v>31</v>
      </c>
      <c r="AO293" t="str">
        <f t="shared" si="43"/>
        <v>18.3.---4.4.---18.4.</v>
      </c>
      <c r="AP293" t="str">
        <f t="shared" si="50"/>
        <v>Kulorastas</v>
      </c>
      <c r="AQ293" t="str">
        <f t="shared" si="51"/>
        <v>(18.3.---4.4.---18.4., 1/21)</v>
      </c>
    </row>
    <row r="294" spans="1:43" x14ac:dyDescent="0.2">
      <c r="A294" s="1"/>
      <c r="B294" s="9">
        <f t="shared" si="42"/>
        <v>288</v>
      </c>
      <c r="C294" s="10"/>
      <c r="D294" s="15" t="s">
        <v>287</v>
      </c>
      <c r="E294" s="14"/>
      <c r="F294" s="11"/>
      <c r="G294" s="12"/>
      <c r="H294" s="11"/>
      <c r="I294" s="12"/>
      <c r="J294" s="11"/>
      <c r="K294" s="12"/>
      <c r="L294" s="11"/>
      <c r="M294" s="12"/>
      <c r="N294" s="11"/>
      <c r="O294" s="12"/>
      <c r="P294" s="11"/>
      <c r="Q294" s="12"/>
      <c r="R294" s="11"/>
      <c r="S294" s="12">
        <v>43714</v>
      </c>
      <c r="T294" s="11"/>
      <c r="U294" s="12"/>
      <c r="V294" s="11"/>
      <c r="W294" s="12"/>
      <c r="X294" s="11"/>
      <c r="Y294" s="12"/>
      <c r="Z294" s="11"/>
      <c r="AA294" s="12"/>
      <c r="AB294" s="11"/>
      <c r="AC294" s="12"/>
      <c r="AD294" s="34"/>
      <c r="AE294" s="33">
        <f t="shared" si="44"/>
        <v>43714</v>
      </c>
      <c r="AF294" s="33">
        <f t="shared" si="45"/>
        <v>43714</v>
      </c>
      <c r="AG294" s="33">
        <f t="shared" si="46"/>
        <v>43714</v>
      </c>
      <c r="AH294">
        <v>364</v>
      </c>
      <c r="AK294" s="36" t="str">
        <f t="shared" si="47"/>
        <v/>
      </c>
      <c r="AL294" t="str">
        <f t="shared" si="48"/>
        <v/>
      </c>
      <c r="AM294" t="s">
        <v>393</v>
      </c>
      <c r="AN294">
        <f t="shared" si="49"/>
        <v>0</v>
      </c>
      <c r="AO294" t="str">
        <f t="shared" si="43"/>
        <v>6.9.---6.9.---6.9.</v>
      </c>
      <c r="AP294" t="str">
        <f t="shared" si="50"/>
        <v>Sarasirkkalintu</v>
      </c>
      <c r="AQ294" t="str">
        <f t="shared" si="51"/>
        <v>(6.9.---6.9.---6.9.)</v>
      </c>
    </row>
    <row r="295" spans="1:43" x14ac:dyDescent="0.2">
      <c r="A295" s="1"/>
      <c r="B295" s="9">
        <f t="shared" si="42"/>
        <v>289</v>
      </c>
      <c r="C295" s="10"/>
      <c r="D295" s="13" t="s">
        <v>288</v>
      </c>
      <c r="E295" s="14"/>
      <c r="F295" s="11"/>
      <c r="G295" s="12"/>
      <c r="H295" s="11"/>
      <c r="I295" s="12">
        <v>43650</v>
      </c>
      <c r="J295" s="11">
        <v>43663</v>
      </c>
      <c r="K295" s="12"/>
      <c r="L295" s="11"/>
      <c r="M295" s="12"/>
      <c r="N295" s="11"/>
      <c r="O295" s="12"/>
      <c r="P295" s="11"/>
      <c r="Q295" s="12"/>
      <c r="R295" s="11">
        <v>43648</v>
      </c>
      <c r="S295" s="12"/>
      <c r="T295" s="11"/>
      <c r="U295" s="12">
        <v>43647</v>
      </c>
      <c r="V295" s="11"/>
      <c r="W295" s="12"/>
      <c r="X295" s="11"/>
      <c r="Y295" s="12"/>
      <c r="Z295" s="11">
        <v>43661</v>
      </c>
      <c r="AA295" s="12"/>
      <c r="AB295" s="11"/>
      <c r="AC295" s="12">
        <v>43659</v>
      </c>
      <c r="AD295" s="34"/>
      <c r="AE295" s="33">
        <f t="shared" si="44"/>
        <v>43647</v>
      </c>
      <c r="AF295" s="33">
        <f t="shared" si="45"/>
        <v>43650</v>
      </c>
      <c r="AG295" s="33">
        <f t="shared" si="46"/>
        <v>43663</v>
      </c>
      <c r="AH295">
        <v>365</v>
      </c>
      <c r="AK295" s="36" t="str">
        <f t="shared" si="47"/>
        <v/>
      </c>
      <c r="AL295" t="str">
        <f t="shared" si="48"/>
        <v/>
      </c>
      <c r="AM295" t="s">
        <v>393</v>
      </c>
      <c r="AN295">
        <f t="shared" si="49"/>
        <v>16</v>
      </c>
      <c r="AO295" t="str">
        <f t="shared" si="43"/>
        <v>1.7.---4.7.---17.7.</v>
      </c>
      <c r="AP295" t="str">
        <f t="shared" si="50"/>
        <v>Viirusirkkalintu</v>
      </c>
      <c r="AQ295" t="str">
        <f t="shared" si="51"/>
        <v>(1.7.---4.7.---17.7.)</v>
      </c>
    </row>
    <row r="296" spans="1:43" x14ac:dyDescent="0.2">
      <c r="A296" s="1"/>
      <c r="B296" s="9">
        <f t="shared" si="42"/>
        <v>290</v>
      </c>
      <c r="C296" s="10"/>
      <c r="D296" s="9" t="s">
        <v>289</v>
      </c>
      <c r="E296" s="10"/>
      <c r="F296" s="11">
        <v>43609</v>
      </c>
      <c r="G296" s="12">
        <v>43612</v>
      </c>
      <c r="H296" s="11">
        <v>43612</v>
      </c>
      <c r="I296" s="12">
        <v>43607</v>
      </c>
      <c r="J296" s="11">
        <v>43617</v>
      </c>
      <c r="K296" s="12">
        <v>43611</v>
      </c>
      <c r="L296" s="11">
        <v>43613</v>
      </c>
      <c r="M296" s="12">
        <v>43610</v>
      </c>
      <c r="N296" s="11">
        <v>43622</v>
      </c>
      <c r="O296" s="12">
        <v>43601</v>
      </c>
      <c r="P296" s="11">
        <v>43615</v>
      </c>
      <c r="Q296" s="12">
        <v>43606</v>
      </c>
      <c r="R296" s="11">
        <v>43611</v>
      </c>
      <c r="S296" s="12">
        <v>43607</v>
      </c>
      <c r="T296" s="11">
        <v>43610</v>
      </c>
      <c r="U296" s="12">
        <v>43604</v>
      </c>
      <c r="V296" s="11">
        <v>43613</v>
      </c>
      <c r="W296" s="12">
        <v>43627</v>
      </c>
      <c r="X296" s="11">
        <v>43616</v>
      </c>
      <c r="Y296" s="12">
        <v>43610</v>
      </c>
      <c r="Z296" s="11">
        <v>43612</v>
      </c>
      <c r="AA296" s="12">
        <v>43621</v>
      </c>
      <c r="AB296" s="11">
        <v>43614</v>
      </c>
      <c r="AC296" s="12">
        <v>43601</v>
      </c>
      <c r="AD296" s="34"/>
      <c r="AE296" s="33">
        <f t="shared" si="44"/>
        <v>43601</v>
      </c>
      <c r="AF296" s="33">
        <f t="shared" si="45"/>
        <v>43611</v>
      </c>
      <c r="AG296" s="33">
        <f t="shared" si="46"/>
        <v>43627</v>
      </c>
      <c r="AH296">
        <v>366</v>
      </c>
      <c r="AK296" s="36" t="str">
        <f t="shared" si="47"/>
        <v/>
      </c>
      <c r="AL296" t="str">
        <f t="shared" si="48"/>
        <v/>
      </c>
      <c r="AM296" t="s">
        <v>393</v>
      </c>
      <c r="AN296">
        <f t="shared" si="49"/>
        <v>26</v>
      </c>
      <c r="AO296" t="str">
        <f t="shared" si="43"/>
        <v>16.5.---26.5.---11.6.</v>
      </c>
      <c r="AP296" t="str">
        <f t="shared" si="50"/>
        <v>Pensassirkkalintu</v>
      </c>
      <c r="AQ296" t="str">
        <f t="shared" si="51"/>
        <v>(16.5.---26.5.---11.6.)</v>
      </c>
    </row>
    <row r="297" spans="1:43" x14ac:dyDescent="0.2">
      <c r="A297" s="1"/>
      <c r="B297" s="9">
        <f t="shared" si="42"/>
        <v>291</v>
      </c>
      <c r="C297" s="10"/>
      <c r="D297" s="13" t="s">
        <v>290</v>
      </c>
      <c r="E297" s="14"/>
      <c r="F297" s="11"/>
      <c r="G297" s="12"/>
      <c r="H297" s="11"/>
      <c r="I297" s="12"/>
      <c r="J297" s="11"/>
      <c r="K297" s="12">
        <v>43627</v>
      </c>
      <c r="L297" s="11"/>
      <c r="M297" s="12">
        <v>43608</v>
      </c>
      <c r="N297" s="11">
        <v>43651</v>
      </c>
      <c r="O297" s="12"/>
      <c r="P297" s="11">
        <v>43614</v>
      </c>
      <c r="Q297" s="12"/>
      <c r="R297" s="11"/>
      <c r="S297" s="12">
        <v>43611</v>
      </c>
      <c r="T297" s="11">
        <v>43609</v>
      </c>
      <c r="U297" s="12">
        <v>43621</v>
      </c>
      <c r="V297" s="11">
        <v>43628</v>
      </c>
      <c r="W297" s="12"/>
      <c r="X297" s="11">
        <v>43614</v>
      </c>
      <c r="Y297" s="12"/>
      <c r="Z297" s="11">
        <v>43664</v>
      </c>
      <c r="AA297" s="12">
        <v>43638</v>
      </c>
      <c r="AB297" s="11">
        <v>43664</v>
      </c>
      <c r="AC297" s="12">
        <v>43608</v>
      </c>
      <c r="AD297" s="34"/>
      <c r="AE297" s="33">
        <f t="shared" si="44"/>
        <v>43608</v>
      </c>
      <c r="AF297" s="33">
        <f t="shared" si="45"/>
        <v>43617.5</v>
      </c>
      <c r="AG297" s="33">
        <f t="shared" si="46"/>
        <v>43664</v>
      </c>
      <c r="AH297">
        <v>367</v>
      </c>
      <c r="AK297" s="36" t="str">
        <f t="shared" si="47"/>
        <v/>
      </c>
      <c r="AL297" t="str">
        <f t="shared" si="48"/>
        <v/>
      </c>
      <c r="AM297" t="s">
        <v>393</v>
      </c>
      <c r="AN297">
        <f t="shared" si="49"/>
        <v>56</v>
      </c>
      <c r="AO297" t="str">
        <f t="shared" si="43"/>
        <v>23.5.---1.6.---18.7.</v>
      </c>
      <c r="AP297" t="str">
        <f t="shared" si="50"/>
        <v>Viitasirkkalintu</v>
      </c>
      <c r="AQ297" t="str">
        <f t="shared" si="51"/>
        <v>(23.5.---1.6.---18.7.)</v>
      </c>
    </row>
    <row r="298" spans="1:43" x14ac:dyDescent="0.2">
      <c r="A298" s="1"/>
      <c r="B298" s="9">
        <f t="shared" si="42"/>
        <v>292</v>
      </c>
      <c r="C298" s="10"/>
      <c r="D298" s="13" t="s">
        <v>291</v>
      </c>
      <c r="E298" s="14"/>
      <c r="F298" s="11"/>
      <c r="G298" s="12"/>
      <c r="H298" s="11"/>
      <c r="I298" s="12"/>
      <c r="J298" s="11"/>
      <c r="K298" s="12"/>
      <c r="L298" s="11"/>
      <c r="M298" s="12"/>
      <c r="N298" s="11">
        <v>43614</v>
      </c>
      <c r="O298" s="12"/>
      <c r="P298" s="11"/>
      <c r="Q298" s="12"/>
      <c r="R298" s="11"/>
      <c r="S298" s="12"/>
      <c r="T298" s="11"/>
      <c r="U298" s="12"/>
      <c r="V298" s="11"/>
      <c r="W298" s="12">
        <v>43633</v>
      </c>
      <c r="X298" s="11"/>
      <c r="Y298" s="12"/>
      <c r="Z298" s="11"/>
      <c r="AA298" s="12">
        <v>43625</v>
      </c>
      <c r="AB298" s="11">
        <v>43625</v>
      </c>
      <c r="AC298" s="12"/>
      <c r="AD298" s="34"/>
      <c r="AE298" s="33">
        <f t="shared" si="44"/>
        <v>43614</v>
      </c>
      <c r="AF298" s="33">
        <f t="shared" si="45"/>
        <v>43623.5</v>
      </c>
      <c r="AG298" s="33">
        <f t="shared" si="46"/>
        <v>43633</v>
      </c>
      <c r="AH298">
        <v>368</v>
      </c>
      <c r="AK298" s="36" t="str">
        <f t="shared" si="47"/>
        <v/>
      </c>
      <c r="AL298" t="str">
        <f t="shared" si="48"/>
        <v/>
      </c>
      <c r="AM298" t="s">
        <v>393</v>
      </c>
      <c r="AN298">
        <f t="shared" si="49"/>
        <v>19</v>
      </c>
      <c r="AO298" t="str">
        <f t="shared" si="43"/>
        <v>29.5.---7.6.---17.6.</v>
      </c>
      <c r="AP298" t="str">
        <f t="shared" si="50"/>
        <v>Ruokosirkkalintu</v>
      </c>
      <c r="AQ298" t="str">
        <f t="shared" si="51"/>
        <v>(29.5.---7.6.---17.6.)</v>
      </c>
    </row>
    <row r="299" spans="1:43" x14ac:dyDescent="0.2">
      <c r="A299" s="1"/>
      <c r="B299" s="9">
        <f t="shared" si="42"/>
        <v>293</v>
      </c>
      <c r="C299" s="10"/>
      <c r="D299" s="13" t="s">
        <v>292</v>
      </c>
      <c r="E299" s="14"/>
      <c r="F299" s="11"/>
      <c r="G299" s="12"/>
      <c r="H299" s="11"/>
      <c r="I299" s="12"/>
      <c r="J299" s="11">
        <v>43631</v>
      </c>
      <c r="K299" s="12">
        <v>43622</v>
      </c>
      <c r="L299" s="11"/>
      <c r="M299" s="12"/>
      <c r="N299" s="11"/>
      <c r="O299" s="12"/>
      <c r="P299" s="11"/>
      <c r="Q299" s="12"/>
      <c r="R299" s="11"/>
      <c r="S299" s="12">
        <v>43612</v>
      </c>
      <c r="T299" s="11"/>
      <c r="U299" s="12"/>
      <c r="V299" s="11">
        <v>43619</v>
      </c>
      <c r="W299" s="12"/>
      <c r="X299" s="11">
        <v>43648</v>
      </c>
      <c r="Y299" s="12">
        <v>43609</v>
      </c>
      <c r="Z299" s="11"/>
      <c r="AA299" s="12"/>
      <c r="AB299" s="11"/>
      <c r="AC299" s="12"/>
      <c r="AD299" s="34"/>
      <c r="AE299" s="33">
        <f t="shared" si="44"/>
        <v>43609</v>
      </c>
      <c r="AF299" s="33">
        <f t="shared" si="45"/>
        <v>43620.5</v>
      </c>
      <c r="AG299" s="33">
        <f t="shared" si="46"/>
        <v>43648</v>
      </c>
      <c r="AH299">
        <v>370</v>
      </c>
      <c r="AK299" s="36" t="str">
        <f t="shared" si="47"/>
        <v/>
      </c>
      <c r="AL299" t="str">
        <f t="shared" si="48"/>
        <v/>
      </c>
      <c r="AM299" t="s">
        <v>393</v>
      </c>
      <c r="AN299">
        <f t="shared" si="49"/>
        <v>39</v>
      </c>
      <c r="AO299" t="str">
        <f t="shared" si="43"/>
        <v>24.5.---4.6.---2.7.</v>
      </c>
      <c r="AP299" t="str">
        <f t="shared" si="50"/>
        <v>Pikkukultarinta</v>
      </c>
      <c r="AQ299" t="str">
        <f t="shared" si="51"/>
        <v>(24.5.---4.6.---2.7.)</v>
      </c>
    </row>
    <row r="300" spans="1:43" x14ac:dyDescent="0.2">
      <c r="A300" s="1"/>
      <c r="B300" s="9">
        <f t="shared" si="42"/>
        <v>294</v>
      </c>
      <c r="C300" s="10"/>
      <c r="D300" s="9" t="s">
        <v>293</v>
      </c>
      <c r="E300" s="10"/>
      <c r="F300" s="11">
        <v>43608</v>
      </c>
      <c r="G300" s="12"/>
      <c r="H300" s="11">
        <v>43610</v>
      </c>
      <c r="I300" s="12">
        <v>43609</v>
      </c>
      <c r="J300" s="11">
        <v>43619</v>
      </c>
      <c r="K300" s="12">
        <v>43612</v>
      </c>
      <c r="L300" s="11">
        <v>43620</v>
      </c>
      <c r="M300" s="12">
        <v>43607</v>
      </c>
      <c r="N300" s="11">
        <v>43633</v>
      </c>
      <c r="O300" s="12">
        <v>43608</v>
      </c>
      <c r="P300" s="11">
        <v>43612</v>
      </c>
      <c r="Q300" s="12">
        <v>43614</v>
      </c>
      <c r="R300" s="11">
        <v>43602</v>
      </c>
      <c r="S300" s="12">
        <v>43611</v>
      </c>
      <c r="T300" s="11">
        <v>43617</v>
      </c>
      <c r="U300" s="12">
        <v>43612</v>
      </c>
      <c r="V300" s="11">
        <v>43606</v>
      </c>
      <c r="W300" s="12">
        <v>43626</v>
      </c>
      <c r="X300" s="11">
        <v>43612</v>
      </c>
      <c r="Y300" s="12">
        <v>43618</v>
      </c>
      <c r="Z300" s="11">
        <v>43613</v>
      </c>
      <c r="AA300" s="12">
        <v>43615</v>
      </c>
      <c r="AB300" s="11">
        <v>43609</v>
      </c>
      <c r="AC300" s="12">
        <v>43615</v>
      </c>
      <c r="AD300" s="34"/>
      <c r="AE300" s="33">
        <f t="shared" si="44"/>
        <v>43602</v>
      </c>
      <c r="AF300" s="33">
        <f t="shared" si="45"/>
        <v>43612</v>
      </c>
      <c r="AG300" s="33">
        <f t="shared" si="46"/>
        <v>43633</v>
      </c>
      <c r="AH300">
        <v>373</v>
      </c>
      <c r="AK300" s="36" t="str">
        <f t="shared" si="47"/>
        <v/>
      </c>
      <c r="AL300" t="str">
        <f t="shared" si="48"/>
        <v/>
      </c>
      <c r="AM300" t="s">
        <v>393</v>
      </c>
      <c r="AN300">
        <f t="shared" si="49"/>
        <v>31</v>
      </c>
      <c r="AO300" t="str">
        <f t="shared" si="43"/>
        <v>17.5.---27.5.---17.6.</v>
      </c>
      <c r="AP300" t="str">
        <f t="shared" si="50"/>
        <v>Kultarinta</v>
      </c>
      <c r="AQ300" t="str">
        <f t="shared" si="51"/>
        <v>(17.5.---27.5.---17.6.)</v>
      </c>
    </row>
    <row r="301" spans="1:43" x14ac:dyDescent="0.2">
      <c r="A301" s="1"/>
      <c r="B301" s="9">
        <f t="shared" si="42"/>
        <v>295</v>
      </c>
      <c r="C301" s="10"/>
      <c r="D301" s="9" t="s">
        <v>294</v>
      </c>
      <c r="E301" s="10"/>
      <c r="F301" s="11">
        <v>43602</v>
      </c>
      <c r="G301" s="12">
        <v>43593</v>
      </c>
      <c r="H301" s="11">
        <v>43590</v>
      </c>
      <c r="I301" s="12">
        <v>43598</v>
      </c>
      <c r="J301" s="11">
        <v>43591</v>
      </c>
      <c r="K301" s="12">
        <v>43601</v>
      </c>
      <c r="L301" s="11">
        <v>43591</v>
      </c>
      <c r="M301" s="12">
        <v>43600</v>
      </c>
      <c r="N301" s="11">
        <v>43590</v>
      </c>
      <c r="O301" s="12">
        <v>43602</v>
      </c>
      <c r="P301" s="11">
        <v>43597</v>
      </c>
      <c r="Q301" s="12">
        <v>43596</v>
      </c>
      <c r="R301" s="11">
        <v>43600</v>
      </c>
      <c r="S301" s="12">
        <v>43598</v>
      </c>
      <c r="T301" s="11">
        <v>43600</v>
      </c>
      <c r="U301" s="12">
        <v>43595</v>
      </c>
      <c r="V301" s="11">
        <v>43598</v>
      </c>
      <c r="W301" s="12">
        <v>43606</v>
      </c>
      <c r="X301" s="11">
        <v>43595</v>
      </c>
      <c r="Y301" s="12">
        <v>43596</v>
      </c>
      <c r="Z301" s="11">
        <v>43590</v>
      </c>
      <c r="AA301" s="12">
        <v>43598</v>
      </c>
      <c r="AB301" s="11">
        <v>43599</v>
      </c>
      <c r="AC301" s="12">
        <v>43598</v>
      </c>
      <c r="AD301" s="34"/>
      <c r="AE301" s="33">
        <f t="shared" si="44"/>
        <v>43590</v>
      </c>
      <c r="AF301" s="33">
        <f t="shared" si="45"/>
        <v>43597</v>
      </c>
      <c r="AG301" s="33">
        <f t="shared" si="46"/>
        <v>43606</v>
      </c>
      <c r="AH301">
        <v>375</v>
      </c>
      <c r="AK301" s="36" t="str">
        <f t="shared" si="47"/>
        <v/>
      </c>
      <c r="AL301" t="str">
        <f t="shared" si="48"/>
        <v/>
      </c>
      <c r="AM301" t="s">
        <v>393</v>
      </c>
      <c r="AN301">
        <f t="shared" si="49"/>
        <v>16</v>
      </c>
      <c r="AO301" t="str">
        <f t="shared" si="43"/>
        <v>5.5.---12.5.---21.5.</v>
      </c>
      <c r="AP301" t="str">
        <f t="shared" si="50"/>
        <v>Ruokokerttunen</v>
      </c>
      <c r="AQ301" t="str">
        <f t="shared" si="51"/>
        <v>(5.5.---12.5.---21.5.)</v>
      </c>
    </row>
    <row r="302" spans="1:43" x14ac:dyDescent="0.2">
      <c r="A302" s="1"/>
      <c r="B302" s="9">
        <f t="shared" si="42"/>
        <v>296</v>
      </c>
      <c r="C302" s="10"/>
      <c r="D302" s="15" t="s">
        <v>388</v>
      </c>
      <c r="E302" s="10"/>
      <c r="F302" s="11"/>
      <c r="G302" s="12"/>
      <c r="H302" s="11"/>
      <c r="I302" s="12"/>
      <c r="J302" s="11"/>
      <c r="K302" s="12"/>
      <c r="L302" s="11"/>
      <c r="M302" s="12"/>
      <c r="N302" s="11"/>
      <c r="O302" s="12"/>
      <c r="P302" s="11"/>
      <c r="Q302" s="12"/>
      <c r="R302" s="11"/>
      <c r="S302" s="12"/>
      <c r="T302" s="11"/>
      <c r="U302" s="12"/>
      <c r="V302" s="11"/>
      <c r="W302" s="12"/>
      <c r="X302" s="11"/>
      <c r="Y302" s="12"/>
      <c r="Z302" s="11"/>
      <c r="AA302" s="12">
        <v>43616</v>
      </c>
      <c r="AB302" s="11"/>
      <c r="AC302" s="12">
        <v>43659</v>
      </c>
      <c r="AD302" s="34"/>
      <c r="AE302" s="33" t="str">
        <f t="shared" si="44"/>
        <v/>
      </c>
      <c r="AF302" s="33" t="str">
        <f t="shared" si="45"/>
        <v/>
      </c>
      <c r="AG302" s="33" t="str">
        <f t="shared" si="46"/>
        <v/>
      </c>
      <c r="AH302">
        <v>376</v>
      </c>
      <c r="AK302" s="36" t="str">
        <f t="shared" si="47"/>
        <v/>
      </c>
      <c r="AL302" t="str">
        <f t="shared" si="48"/>
        <v/>
      </c>
      <c r="AM302" t="s">
        <v>393</v>
      </c>
      <c r="AN302" t="e">
        <f t="shared" si="49"/>
        <v>#VALUE!</v>
      </c>
      <c r="AO302" t="str">
        <f t="shared" si="43"/>
        <v>------</v>
      </c>
      <c r="AP302" t="str">
        <f t="shared" si="50"/>
        <v>Kenttäkerttunen</v>
      </c>
      <c r="AQ302" t="str">
        <f t="shared" si="51"/>
        <v>(------)</v>
      </c>
    </row>
    <row r="303" spans="1:43" x14ac:dyDescent="0.2">
      <c r="A303" s="1"/>
      <c r="B303" s="9">
        <f t="shared" si="42"/>
        <v>297</v>
      </c>
      <c r="C303" s="10"/>
      <c r="D303" s="9" t="s">
        <v>295</v>
      </c>
      <c r="E303" s="10"/>
      <c r="F303" s="11">
        <v>43617</v>
      </c>
      <c r="G303" s="12">
        <v>43625</v>
      </c>
      <c r="H303" s="11">
        <v>43628</v>
      </c>
      <c r="I303" s="12">
        <v>43609</v>
      </c>
      <c r="J303" s="11">
        <v>43612</v>
      </c>
      <c r="K303" s="12">
        <v>43611</v>
      </c>
      <c r="L303" s="11">
        <v>43610</v>
      </c>
      <c r="M303" s="12">
        <v>43611</v>
      </c>
      <c r="N303" s="11">
        <v>43619</v>
      </c>
      <c r="O303" s="12">
        <v>43626</v>
      </c>
      <c r="P303" s="11">
        <v>43605</v>
      </c>
      <c r="Q303" s="12">
        <v>43613</v>
      </c>
      <c r="R303" s="11">
        <v>43608</v>
      </c>
      <c r="S303" s="12">
        <v>43609</v>
      </c>
      <c r="T303" s="11">
        <v>43606</v>
      </c>
      <c r="U303" s="12">
        <v>43617</v>
      </c>
      <c r="V303" s="11">
        <v>43597</v>
      </c>
      <c r="W303" s="12">
        <v>43622</v>
      </c>
      <c r="X303" s="11">
        <v>43611</v>
      </c>
      <c r="Y303" s="12">
        <v>43603</v>
      </c>
      <c r="Z303" s="11">
        <v>43609</v>
      </c>
      <c r="AA303" s="12">
        <v>43610</v>
      </c>
      <c r="AB303" s="11">
        <v>43609</v>
      </c>
      <c r="AC303" s="12">
        <v>43606</v>
      </c>
      <c r="AD303" s="34"/>
      <c r="AE303" s="33">
        <f t="shared" si="44"/>
        <v>43597</v>
      </c>
      <c r="AF303" s="33">
        <f t="shared" si="45"/>
        <v>43611</v>
      </c>
      <c r="AG303" s="33">
        <f t="shared" si="46"/>
        <v>43628</v>
      </c>
      <c r="AH303">
        <v>377</v>
      </c>
      <c r="AK303" s="36" t="str">
        <f t="shared" si="47"/>
        <v/>
      </c>
      <c r="AL303" t="str">
        <f t="shared" si="48"/>
        <v/>
      </c>
      <c r="AM303" t="s">
        <v>393</v>
      </c>
      <c r="AN303">
        <f t="shared" si="49"/>
        <v>31</v>
      </c>
      <c r="AO303" t="str">
        <f t="shared" si="43"/>
        <v>12.5.---26.5.---12.6.</v>
      </c>
      <c r="AP303" t="str">
        <f t="shared" si="50"/>
        <v>Viitakerttunen</v>
      </c>
      <c r="AQ303" t="str">
        <f t="shared" si="51"/>
        <v>(12.5.---26.5.---12.6.)</v>
      </c>
    </row>
    <row r="304" spans="1:43" x14ac:dyDescent="0.2">
      <c r="A304" s="1"/>
      <c r="B304" s="9">
        <f t="shared" si="42"/>
        <v>298</v>
      </c>
      <c r="C304" s="10"/>
      <c r="D304" s="9" t="s">
        <v>296</v>
      </c>
      <c r="E304" s="10"/>
      <c r="F304" s="11"/>
      <c r="G304" s="12"/>
      <c r="H304" s="11"/>
      <c r="I304" s="12">
        <v>43628</v>
      </c>
      <c r="J304" s="11">
        <v>43629</v>
      </c>
      <c r="K304" s="12">
        <v>43625</v>
      </c>
      <c r="L304" s="11"/>
      <c r="M304" s="12">
        <v>43619</v>
      </c>
      <c r="N304" s="11">
        <v>43648</v>
      </c>
      <c r="O304" s="12"/>
      <c r="P304" s="11">
        <v>43610</v>
      </c>
      <c r="Q304" s="12">
        <v>43614</v>
      </c>
      <c r="R304" s="11">
        <v>43631</v>
      </c>
      <c r="S304" s="12">
        <v>43618</v>
      </c>
      <c r="T304" s="11">
        <v>43608</v>
      </c>
      <c r="U304" s="12">
        <v>43618</v>
      </c>
      <c r="V304" s="11">
        <v>43614</v>
      </c>
      <c r="W304" s="12"/>
      <c r="X304" s="11">
        <v>43606</v>
      </c>
      <c r="Y304" s="12">
        <v>43618</v>
      </c>
      <c r="Z304" s="11">
        <v>43609</v>
      </c>
      <c r="AA304" s="12">
        <v>43612</v>
      </c>
      <c r="AB304" s="11">
        <v>43629</v>
      </c>
      <c r="AC304" s="12"/>
      <c r="AD304" s="34"/>
      <c r="AE304" s="33">
        <f t="shared" si="44"/>
        <v>43606</v>
      </c>
      <c r="AF304" s="33">
        <f t="shared" si="45"/>
        <v>43618</v>
      </c>
      <c r="AG304" s="33">
        <f t="shared" si="46"/>
        <v>43648</v>
      </c>
      <c r="AH304">
        <v>378</v>
      </c>
      <c r="AK304" s="36" t="str">
        <f t="shared" si="47"/>
        <v/>
      </c>
      <c r="AL304" t="str">
        <f t="shared" si="48"/>
        <v/>
      </c>
      <c r="AM304" t="s">
        <v>393</v>
      </c>
      <c r="AN304">
        <f t="shared" si="49"/>
        <v>42</v>
      </c>
      <c r="AO304" t="str">
        <f t="shared" si="43"/>
        <v>21.5.---2.6.---2.7.</v>
      </c>
      <c r="AP304" t="str">
        <f t="shared" si="50"/>
        <v>Luhtakerttunen</v>
      </c>
      <c r="AQ304" t="str">
        <f t="shared" si="51"/>
        <v>(21.5.---2.6.---2.7.)</v>
      </c>
    </row>
    <row r="305" spans="1:43" x14ac:dyDescent="0.2">
      <c r="A305" s="1"/>
      <c r="B305" s="9">
        <f t="shared" si="42"/>
        <v>299</v>
      </c>
      <c r="C305" s="10"/>
      <c r="D305" s="9" t="s">
        <v>297</v>
      </c>
      <c r="E305" s="10"/>
      <c r="F305" s="11"/>
      <c r="G305" s="12"/>
      <c r="H305" s="11"/>
      <c r="I305" s="12">
        <v>43609</v>
      </c>
      <c r="J305" s="11">
        <v>43696</v>
      </c>
      <c r="K305" s="12">
        <v>43633</v>
      </c>
      <c r="L305" s="11"/>
      <c r="M305" s="12">
        <v>43638</v>
      </c>
      <c r="N305" s="11"/>
      <c r="O305" s="12">
        <v>43618</v>
      </c>
      <c r="P305" s="11">
        <v>43614</v>
      </c>
      <c r="Q305" s="12">
        <v>43617</v>
      </c>
      <c r="R305" s="11"/>
      <c r="S305" s="12">
        <v>43654</v>
      </c>
      <c r="T305" s="11">
        <v>43611</v>
      </c>
      <c r="U305" s="12">
        <v>43638</v>
      </c>
      <c r="V305" s="11">
        <v>43614</v>
      </c>
      <c r="W305" s="12">
        <v>43682</v>
      </c>
      <c r="X305" s="11">
        <v>43609</v>
      </c>
      <c r="Y305" s="12">
        <v>43598</v>
      </c>
      <c r="Z305" s="11">
        <v>43629</v>
      </c>
      <c r="AA305" s="12">
        <v>43601</v>
      </c>
      <c r="AB305" s="11"/>
      <c r="AC305" s="12">
        <v>43609</v>
      </c>
      <c r="AD305" s="34"/>
      <c r="AE305" s="33">
        <f t="shared" si="44"/>
        <v>43598</v>
      </c>
      <c r="AF305" s="33">
        <f t="shared" si="45"/>
        <v>43618</v>
      </c>
      <c r="AG305" s="33">
        <f t="shared" si="46"/>
        <v>43696</v>
      </c>
      <c r="AH305">
        <v>379</v>
      </c>
      <c r="AK305" s="36" t="str">
        <f t="shared" si="47"/>
        <v/>
      </c>
      <c r="AL305" t="str">
        <f t="shared" si="48"/>
        <v/>
      </c>
      <c r="AM305" t="s">
        <v>393</v>
      </c>
      <c r="AN305">
        <f t="shared" si="49"/>
        <v>98</v>
      </c>
      <c r="AO305" t="str">
        <f t="shared" si="43"/>
        <v>13.5.---2.6.---19.8.</v>
      </c>
      <c r="AP305" t="str">
        <f t="shared" si="50"/>
        <v>Rytikerttunen</v>
      </c>
      <c r="AQ305" t="str">
        <f t="shared" si="51"/>
        <v>(13.5.---2.6.---19.8.)</v>
      </c>
    </row>
    <row r="306" spans="1:43" x14ac:dyDescent="0.2">
      <c r="A306" s="1"/>
      <c r="B306" s="9">
        <f t="shared" si="42"/>
        <v>300</v>
      </c>
      <c r="C306" s="10"/>
      <c r="D306" s="13" t="s">
        <v>298</v>
      </c>
      <c r="E306" s="14"/>
      <c r="F306" s="11"/>
      <c r="G306" s="12"/>
      <c r="H306" s="11"/>
      <c r="I306" s="12">
        <v>43623</v>
      </c>
      <c r="J306" s="11"/>
      <c r="K306" s="12"/>
      <c r="L306" s="11">
        <v>43630</v>
      </c>
      <c r="M306" s="12">
        <v>43618</v>
      </c>
      <c r="N306" s="11"/>
      <c r="O306" s="12"/>
      <c r="P306" s="11"/>
      <c r="Q306" s="12"/>
      <c r="R306" s="11"/>
      <c r="S306" s="12"/>
      <c r="T306" s="11"/>
      <c r="U306" s="12"/>
      <c r="V306" s="11"/>
      <c r="W306" s="12"/>
      <c r="X306" s="11"/>
      <c r="Y306" s="12"/>
      <c r="Z306" s="11"/>
      <c r="AA306" s="12">
        <v>43614</v>
      </c>
      <c r="AB306" s="11"/>
      <c r="AC306" s="12">
        <v>43645</v>
      </c>
      <c r="AD306" s="34"/>
      <c r="AE306" s="33">
        <f t="shared" si="44"/>
        <v>43618</v>
      </c>
      <c r="AF306" s="33">
        <f t="shared" si="45"/>
        <v>43623</v>
      </c>
      <c r="AG306" s="33">
        <f t="shared" si="46"/>
        <v>43630</v>
      </c>
      <c r="AH306">
        <v>380</v>
      </c>
      <c r="AK306" s="36" t="str">
        <f t="shared" si="47"/>
        <v/>
      </c>
      <c r="AL306" t="str">
        <f t="shared" si="48"/>
        <v/>
      </c>
      <c r="AM306" t="s">
        <v>393</v>
      </c>
      <c r="AN306">
        <f t="shared" si="49"/>
        <v>12</v>
      </c>
      <c r="AO306" t="str">
        <f t="shared" si="43"/>
        <v>2.6.---7.6.---14.6.</v>
      </c>
      <c r="AP306" t="str">
        <f t="shared" si="50"/>
        <v>Rastaskerttunen</v>
      </c>
      <c r="AQ306" t="str">
        <f t="shared" si="51"/>
        <v>(2.6.---7.6.---14.6.)</v>
      </c>
    </row>
    <row r="307" spans="1:43" x14ac:dyDescent="0.2">
      <c r="A307" s="1"/>
      <c r="B307" s="9">
        <f t="shared" si="42"/>
        <v>301</v>
      </c>
      <c r="C307" s="10"/>
      <c r="D307" s="15" t="s">
        <v>299</v>
      </c>
      <c r="E307" s="10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R307" s="11"/>
      <c r="S307" s="12"/>
      <c r="T307" s="11"/>
      <c r="U307" s="12"/>
      <c r="V307" s="11"/>
      <c r="W307" s="12"/>
      <c r="X307" s="11"/>
      <c r="Y307" s="12"/>
      <c r="Z307" s="11"/>
      <c r="AA307" s="12"/>
      <c r="AB307" s="11"/>
      <c r="AC307" s="12"/>
      <c r="AD307" s="34"/>
      <c r="AE307" s="33" t="str">
        <f t="shared" si="44"/>
        <v/>
      </c>
      <c r="AF307" s="33" t="str">
        <f t="shared" si="45"/>
        <v/>
      </c>
      <c r="AG307" s="33" t="str">
        <f t="shared" si="46"/>
        <v/>
      </c>
      <c r="AH307">
        <v>381</v>
      </c>
      <c r="AK307" s="36" t="str">
        <f t="shared" si="47"/>
        <v/>
      </c>
      <c r="AL307" t="str">
        <f t="shared" si="48"/>
        <v/>
      </c>
      <c r="AM307" t="s">
        <v>393</v>
      </c>
      <c r="AN307" t="e">
        <f t="shared" si="49"/>
        <v>#VALUE!</v>
      </c>
      <c r="AO307" t="str">
        <f t="shared" si="43"/>
        <v>------</v>
      </c>
      <c r="AP307" t="str">
        <f t="shared" si="50"/>
        <v>Ruskokerttu</v>
      </c>
      <c r="AQ307" t="str">
        <f t="shared" si="51"/>
        <v>(------)</v>
      </c>
    </row>
    <row r="308" spans="1:43" x14ac:dyDescent="0.2">
      <c r="A308" s="1"/>
      <c r="B308" s="9">
        <f t="shared" si="42"/>
        <v>302</v>
      </c>
      <c r="C308" s="10"/>
      <c r="D308" s="15" t="s">
        <v>300</v>
      </c>
      <c r="E308" s="10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>
        <v>43600</v>
      </c>
      <c r="R308" s="11"/>
      <c r="S308" s="12"/>
      <c r="T308" s="11"/>
      <c r="U308" s="12"/>
      <c r="V308" s="11"/>
      <c r="W308" s="12"/>
      <c r="X308" s="11"/>
      <c r="Y308" s="12"/>
      <c r="Z308" s="11"/>
      <c r="AA308" s="12"/>
      <c r="AB308" s="11"/>
      <c r="AC308" s="12"/>
      <c r="AD308" s="34"/>
      <c r="AE308" s="33">
        <f t="shared" si="44"/>
        <v>43600</v>
      </c>
      <c r="AF308" s="33">
        <f t="shared" si="45"/>
        <v>43600</v>
      </c>
      <c r="AG308" s="33">
        <f t="shared" si="46"/>
        <v>43600</v>
      </c>
      <c r="AH308">
        <v>382</v>
      </c>
      <c r="AK308" s="36" t="str">
        <f t="shared" si="47"/>
        <v/>
      </c>
      <c r="AL308" t="str">
        <f t="shared" si="48"/>
        <v/>
      </c>
      <c r="AM308" t="s">
        <v>393</v>
      </c>
      <c r="AN308">
        <f t="shared" si="49"/>
        <v>0</v>
      </c>
      <c r="AO308" t="str">
        <f t="shared" si="43"/>
        <v>15.5.---15.5.---15.5.</v>
      </c>
      <c r="AP308" t="str">
        <f t="shared" si="50"/>
        <v>Rusorintakerttu</v>
      </c>
      <c r="AQ308" t="str">
        <f t="shared" si="51"/>
        <v>(15.5.---15.5.---15.5.)</v>
      </c>
    </row>
    <row r="309" spans="1:43" x14ac:dyDescent="0.2">
      <c r="A309" s="1"/>
      <c r="B309" s="9">
        <f t="shared" si="42"/>
        <v>303</v>
      </c>
      <c r="C309" s="10"/>
      <c r="D309" s="23" t="s">
        <v>301</v>
      </c>
      <c r="E309" s="24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R309" s="11"/>
      <c r="S309" s="12"/>
      <c r="T309" s="11"/>
      <c r="U309" s="12"/>
      <c r="V309" s="11"/>
      <c r="W309" s="12"/>
      <c r="X309" s="11"/>
      <c r="Y309" s="12"/>
      <c r="Z309" s="11"/>
      <c r="AA309" s="12"/>
      <c r="AB309" s="11"/>
      <c r="AC309" s="12"/>
      <c r="AD309" s="34"/>
      <c r="AE309" s="33" t="str">
        <f t="shared" si="44"/>
        <v/>
      </c>
      <c r="AF309" s="33" t="str">
        <f t="shared" si="45"/>
        <v/>
      </c>
      <c r="AG309" s="33" t="str">
        <f t="shared" si="46"/>
        <v/>
      </c>
      <c r="AH309">
        <v>384</v>
      </c>
      <c r="AK309" s="36" t="str">
        <f t="shared" si="47"/>
        <v/>
      </c>
      <c r="AL309" t="str">
        <f t="shared" si="48"/>
        <v/>
      </c>
      <c r="AM309" t="s">
        <v>393</v>
      </c>
      <c r="AN309" t="e">
        <f t="shared" si="49"/>
        <v>#VALUE!</v>
      </c>
      <c r="AO309" t="str">
        <f t="shared" si="43"/>
        <v>------</v>
      </c>
      <c r="AP309" t="str">
        <f t="shared" si="50"/>
        <v>Mustakurkkukerttu</v>
      </c>
      <c r="AQ309" t="str">
        <f t="shared" si="51"/>
        <v>(------)</v>
      </c>
    </row>
    <row r="310" spans="1:43" x14ac:dyDescent="0.2">
      <c r="A310" s="1"/>
      <c r="B310" s="9">
        <f t="shared" si="42"/>
        <v>304</v>
      </c>
      <c r="C310" s="10"/>
      <c r="D310" s="13" t="s">
        <v>395</v>
      </c>
      <c r="E310" s="10"/>
      <c r="F310" s="11"/>
      <c r="G310" s="12"/>
      <c r="H310" s="11"/>
      <c r="I310" s="12"/>
      <c r="J310" s="11"/>
      <c r="K310" s="12"/>
      <c r="L310" s="11"/>
      <c r="M310" s="12"/>
      <c r="N310" s="11"/>
      <c r="O310" s="12"/>
      <c r="P310" s="11"/>
      <c r="Q310" s="12"/>
      <c r="R310" s="11"/>
      <c r="S310" s="12"/>
      <c r="T310" s="11"/>
      <c r="U310" s="12"/>
      <c r="V310" s="11"/>
      <c r="W310" s="12"/>
      <c r="X310" s="11"/>
      <c r="Y310" s="12"/>
      <c r="Z310" s="11"/>
      <c r="AA310" s="12"/>
      <c r="AB310" s="11"/>
      <c r="AC310" s="12">
        <v>43641</v>
      </c>
      <c r="AD310" s="34"/>
      <c r="AE310" s="33" t="str">
        <f t="shared" si="44"/>
        <v/>
      </c>
      <c r="AF310" s="33" t="str">
        <f t="shared" si="45"/>
        <v/>
      </c>
      <c r="AG310" s="33" t="str">
        <f t="shared" si="46"/>
        <v/>
      </c>
      <c r="AH310">
        <v>385</v>
      </c>
      <c r="AK310" s="36" t="str">
        <f t="shared" si="47"/>
        <v/>
      </c>
      <c r="AL310" t="str">
        <f t="shared" si="48"/>
        <v/>
      </c>
      <c r="AM310" t="s">
        <v>393</v>
      </c>
      <c r="AN310" t="e">
        <f t="shared" si="49"/>
        <v>#VALUE!</v>
      </c>
      <c r="AO310" t="str">
        <f t="shared" si="43"/>
        <v>------</v>
      </c>
      <c r="AP310" t="str">
        <f t="shared" si="50"/>
        <v>Kääpiökerttu</v>
      </c>
      <c r="AQ310" t="str">
        <f t="shared" si="51"/>
        <v>(------)</v>
      </c>
    </row>
    <row r="311" spans="1:43" x14ac:dyDescent="0.2">
      <c r="A311" s="1"/>
      <c r="B311" s="9">
        <f t="shared" si="42"/>
        <v>305</v>
      </c>
      <c r="C311" s="10"/>
      <c r="D311" s="13" t="s">
        <v>302</v>
      </c>
      <c r="E311" s="10"/>
      <c r="F311" s="11"/>
      <c r="G311" s="12"/>
      <c r="H311" s="11"/>
      <c r="I311" s="12"/>
      <c r="J311" s="11"/>
      <c r="K311" s="12"/>
      <c r="L311" s="11"/>
      <c r="M311" s="12"/>
      <c r="N311" s="11"/>
      <c r="O311" s="12"/>
      <c r="P311" s="11"/>
      <c r="Q311" s="12"/>
      <c r="R311" s="11">
        <v>43695</v>
      </c>
      <c r="S311" s="12"/>
      <c r="T311" s="11"/>
      <c r="U311" s="12"/>
      <c r="V311" s="11"/>
      <c r="W311" s="12"/>
      <c r="X311" s="11"/>
      <c r="Y311" s="12"/>
      <c r="Z311" s="11"/>
      <c r="AA311" s="12"/>
      <c r="AB311" s="11">
        <v>43717</v>
      </c>
      <c r="AC311" s="12">
        <v>43688</v>
      </c>
      <c r="AD311" s="34"/>
      <c r="AE311" s="33">
        <f t="shared" si="44"/>
        <v>43695</v>
      </c>
      <c r="AF311" s="33">
        <f t="shared" si="45"/>
        <v>43695</v>
      </c>
      <c r="AG311" s="33">
        <f t="shared" si="46"/>
        <v>43695</v>
      </c>
      <c r="AH311">
        <v>386</v>
      </c>
      <c r="AK311" s="36" t="str">
        <f t="shared" si="47"/>
        <v/>
      </c>
      <c r="AL311" t="str">
        <f t="shared" si="48"/>
        <v/>
      </c>
      <c r="AM311" t="s">
        <v>393</v>
      </c>
      <c r="AN311">
        <f t="shared" si="49"/>
        <v>0</v>
      </c>
      <c r="AO311" t="str">
        <f t="shared" si="43"/>
        <v>18.8.---18.8.---18.8.</v>
      </c>
      <c r="AP311" t="str">
        <f t="shared" si="50"/>
        <v>Kirjokerttu</v>
      </c>
      <c r="AQ311" t="str">
        <f t="shared" si="51"/>
        <v>(18.8.---18.8.---18.8.)</v>
      </c>
    </row>
    <row r="312" spans="1:43" x14ac:dyDescent="0.2">
      <c r="A312" s="1"/>
      <c r="B312" s="9">
        <f t="shared" si="42"/>
        <v>306</v>
      </c>
      <c r="C312" s="10"/>
      <c r="D312" s="9" t="s">
        <v>303</v>
      </c>
      <c r="E312" s="10"/>
      <c r="F312" s="11">
        <v>43593</v>
      </c>
      <c r="G312" s="12">
        <v>43592</v>
      </c>
      <c r="H312" s="11">
        <v>43592</v>
      </c>
      <c r="I312" s="12">
        <v>43597</v>
      </c>
      <c r="J312" s="11">
        <v>43590</v>
      </c>
      <c r="K312" s="12">
        <v>43595</v>
      </c>
      <c r="L312" s="11">
        <v>43589</v>
      </c>
      <c r="M312" s="12">
        <v>43593</v>
      </c>
      <c r="N312" s="11">
        <v>43585</v>
      </c>
      <c r="O312" s="12">
        <v>43587</v>
      </c>
      <c r="P312" s="11">
        <v>43593</v>
      </c>
      <c r="Q312" s="12">
        <v>43593</v>
      </c>
      <c r="R312" s="11">
        <v>43590</v>
      </c>
      <c r="S312" s="12">
        <v>43592</v>
      </c>
      <c r="T312" s="11">
        <v>43594</v>
      </c>
      <c r="U312" s="12">
        <v>43590</v>
      </c>
      <c r="V312" s="11">
        <v>43589</v>
      </c>
      <c r="W312" s="12">
        <v>43597</v>
      </c>
      <c r="X312" s="11">
        <v>43591</v>
      </c>
      <c r="Y312" s="12">
        <v>43594</v>
      </c>
      <c r="Z312" s="11">
        <v>43588</v>
      </c>
      <c r="AA312" s="12">
        <v>43587</v>
      </c>
      <c r="AB312" s="11">
        <v>43594</v>
      </c>
      <c r="AC312" s="12">
        <v>43592</v>
      </c>
      <c r="AD312" s="34"/>
      <c r="AE312" s="33">
        <f t="shared" si="44"/>
        <v>43585</v>
      </c>
      <c r="AF312" s="33">
        <f t="shared" si="45"/>
        <v>43592</v>
      </c>
      <c r="AG312" s="33">
        <f t="shared" si="46"/>
        <v>43597</v>
      </c>
      <c r="AH312">
        <v>387</v>
      </c>
      <c r="AK312" s="36" t="str">
        <f t="shared" si="47"/>
        <v/>
      </c>
      <c r="AL312" t="str">
        <f t="shared" si="48"/>
        <v/>
      </c>
      <c r="AM312" t="s">
        <v>393</v>
      </c>
      <c r="AN312">
        <f t="shared" si="49"/>
        <v>12</v>
      </c>
      <c r="AO312" t="str">
        <f t="shared" si="43"/>
        <v>30.4.---7.5.---12.5.</v>
      </c>
      <c r="AP312" t="str">
        <f t="shared" si="50"/>
        <v>Hernekerttu</v>
      </c>
      <c r="AQ312" t="str">
        <f t="shared" si="51"/>
        <v>(30.4.---7.5.---12.5.)</v>
      </c>
    </row>
    <row r="313" spans="1:43" x14ac:dyDescent="0.2">
      <c r="A313" s="1"/>
      <c r="B313" s="9">
        <f t="shared" si="42"/>
        <v>307</v>
      </c>
      <c r="C313" s="10"/>
      <c r="D313" s="9" t="s">
        <v>304</v>
      </c>
      <c r="E313" s="16"/>
      <c r="F313" s="11">
        <v>43604</v>
      </c>
      <c r="G313" s="12">
        <v>43599</v>
      </c>
      <c r="H313" s="11">
        <v>43599</v>
      </c>
      <c r="I313" s="12">
        <v>43599</v>
      </c>
      <c r="J313" s="11">
        <v>43591</v>
      </c>
      <c r="K313" s="12">
        <v>43606</v>
      </c>
      <c r="L313" s="11">
        <v>43596</v>
      </c>
      <c r="M313" s="12">
        <v>43603</v>
      </c>
      <c r="N313" s="11">
        <v>43593</v>
      </c>
      <c r="O313" s="12">
        <v>43598</v>
      </c>
      <c r="P313" s="11">
        <v>43599</v>
      </c>
      <c r="Q313" s="12">
        <v>43600</v>
      </c>
      <c r="R313" s="11">
        <v>43601</v>
      </c>
      <c r="S313" s="12">
        <v>43598</v>
      </c>
      <c r="T313" s="11">
        <v>43602</v>
      </c>
      <c r="U313" s="12">
        <v>43600</v>
      </c>
      <c r="V313" s="11">
        <v>43592</v>
      </c>
      <c r="W313" s="12">
        <v>43607</v>
      </c>
      <c r="X313" s="11">
        <v>43596</v>
      </c>
      <c r="Y313" s="12">
        <v>43600</v>
      </c>
      <c r="Z313" s="11">
        <v>43598</v>
      </c>
      <c r="AA313" s="12">
        <v>43599</v>
      </c>
      <c r="AB313" s="11">
        <v>43599</v>
      </c>
      <c r="AC313" s="12">
        <v>43600</v>
      </c>
      <c r="AD313" s="34"/>
      <c r="AE313" s="33">
        <f t="shared" si="44"/>
        <v>43591</v>
      </c>
      <c r="AF313" s="33">
        <f t="shared" si="45"/>
        <v>43599</v>
      </c>
      <c r="AG313" s="33">
        <f t="shared" si="46"/>
        <v>43607</v>
      </c>
      <c r="AH313">
        <v>388</v>
      </c>
      <c r="AK313" s="36" t="str">
        <f t="shared" si="47"/>
        <v/>
      </c>
      <c r="AL313" t="str">
        <f t="shared" si="48"/>
        <v/>
      </c>
      <c r="AM313" t="s">
        <v>393</v>
      </c>
      <c r="AN313">
        <f t="shared" si="49"/>
        <v>16</v>
      </c>
      <c r="AO313" t="str">
        <f t="shared" si="43"/>
        <v>6.5.---14.5.---22.5.</v>
      </c>
      <c r="AP313" t="str">
        <f t="shared" si="50"/>
        <v>Pensaskerttu</v>
      </c>
      <c r="AQ313" t="str">
        <f t="shared" si="51"/>
        <v>(6.5.---14.5.---22.5.)</v>
      </c>
    </row>
    <row r="314" spans="1:43" x14ac:dyDescent="0.2">
      <c r="A314" s="1"/>
      <c r="B314" s="9">
        <f t="shared" si="42"/>
        <v>308</v>
      </c>
      <c r="C314" s="10"/>
      <c r="D314" s="9" t="s">
        <v>305</v>
      </c>
      <c r="E314" s="14"/>
      <c r="F314" s="11">
        <v>43603</v>
      </c>
      <c r="G314" s="12">
        <v>43601</v>
      </c>
      <c r="H314" s="11">
        <v>43596</v>
      </c>
      <c r="I314" s="12">
        <v>43601</v>
      </c>
      <c r="J314" s="11">
        <v>43605</v>
      </c>
      <c r="K314" s="12">
        <v>43607</v>
      </c>
      <c r="L314" s="11">
        <v>43605</v>
      </c>
      <c r="M314" s="12">
        <v>43604</v>
      </c>
      <c r="N314" s="11">
        <v>43605</v>
      </c>
      <c r="O314" s="12">
        <v>43606</v>
      </c>
      <c r="P314" s="11">
        <v>43600</v>
      </c>
      <c r="Q314" s="12">
        <v>43605</v>
      </c>
      <c r="R314" s="11">
        <v>43601</v>
      </c>
      <c r="S314" s="12">
        <v>43600</v>
      </c>
      <c r="T314" s="11">
        <v>43604</v>
      </c>
      <c r="U314" s="12">
        <v>43606</v>
      </c>
      <c r="V314" s="11">
        <v>43598</v>
      </c>
      <c r="W314" s="12">
        <v>43601</v>
      </c>
      <c r="X314" s="11">
        <v>43597</v>
      </c>
      <c r="Y314" s="12">
        <v>43601</v>
      </c>
      <c r="Z314" s="11">
        <v>43602</v>
      </c>
      <c r="AA314" s="12">
        <v>43598</v>
      </c>
      <c r="AB314" s="11">
        <v>43606</v>
      </c>
      <c r="AC314" s="12">
        <v>43602</v>
      </c>
      <c r="AD314" s="34"/>
      <c r="AE314" s="33">
        <f t="shared" si="44"/>
        <v>43596</v>
      </c>
      <c r="AF314" s="33">
        <f t="shared" si="45"/>
        <v>43602</v>
      </c>
      <c r="AG314" s="33">
        <f t="shared" si="46"/>
        <v>43607</v>
      </c>
      <c r="AH314">
        <v>389</v>
      </c>
      <c r="AK314" s="36" t="str">
        <f t="shared" si="47"/>
        <v/>
      </c>
      <c r="AL314" t="str">
        <f t="shared" si="48"/>
        <v/>
      </c>
      <c r="AM314" t="s">
        <v>393</v>
      </c>
      <c r="AN314">
        <f t="shared" si="49"/>
        <v>11</v>
      </c>
      <c r="AO314" t="str">
        <f t="shared" si="43"/>
        <v>11.5.---17.5.---22.5.</v>
      </c>
      <c r="AP314" t="str">
        <f t="shared" si="50"/>
        <v>Lehtokerttu</v>
      </c>
      <c r="AQ314" t="str">
        <f t="shared" si="51"/>
        <v>(11.5.---17.5.---22.5.)</v>
      </c>
    </row>
    <row r="315" spans="1:43" x14ac:dyDescent="0.2">
      <c r="A315" s="1"/>
      <c r="B315" s="9">
        <f t="shared" si="42"/>
        <v>309</v>
      </c>
      <c r="C315" s="10"/>
      <c r="D315" s="25" t="s">
        <v>306</v>
      </c>
      <c r="E315" s="10"/>
      <c r="F315" s="11">
        <v>43604</v>
      </c>
      <c r="G315" s="12">
        <f>IF(AG1,DATE(2019,1,8),DATE(2019,5,30))</f>
        <v>43615</v>
      </c>
      <c r="H315" s="11">
        <v>43600</v>
      </c>
      <c r="I315" s="12">
        <v>43608</v>
      </c>
      <c r="J315" s="11">
        <v>43593</v>
      </c>
      <c r="K315" s="12">
        <f>IF(AG1,DATE(2019,1,1),DATE(2019,5,24))</f>
        <v>43609</v>
      </c>
      <c r="L315" s="11">
        <f>IF(AG1,DATE(2019,1,1),DATE(2019,5,7))</f>
        <v>43592</v>
      </c>
      <c r="M315" s="12">
        <f>IF(AG1,DATE(2019,1,1),DATE(2019,5,3))</f>
        <v>43588</v>
      </c>
      <c r="N315" s="11">
        <f>IF(AG1,DATE(2019,1,1),DATE(2019,5,7))</f>
        <v>43592</v>
      </c>
      <c r="O315" s="12">
        <f>IF(AG1,DATE(2019,1,1),DATE(2019,5,4))</f>
        <v>43589</v>
      </c>
      <c r="P315" s="11">
        <v>43600</v>
      </c>
      <c r="Q315" s="12">
        <v>43600</v>
      </c>
      <c r="R315" s="11">
        <f>IF(AG1,DATE(2019,1,3),DATE(2019,5,7))</f>
        <v>43592</v>
      </c>
      <c r="S315" s="12">
        <v>43598</v>
      </c>
      <c r="T315" s="11">
        <v>43602</v>
      </c>
      <c r="U315" s="12">
        <f>IF(AG1,DATE(2019,1,1),DATE(2019,5,9))</f>
        <v>43594</v>
      </c>
      <c r="V315" s="11">
        <f>IF(AG1,DATE(2019,1,1),DATE(2019,5,4))</f>
        <v>43589</v>
      </c>
      <c r="W315" s="12">
        <v>43608</v>
      </c>
      <c r="X315" s="11">
        <f>IF(AG1,DATE(2019,1,2),DATE(2019,5,11))</f>
        <v>43596</v>
      </c>
      <c r="Y315" s="12">
        <f>IF(AG1,DATE(2019,1,1),DATE(2019,5,16))</f>
        <v>43601</v>
      </c>
      <c r="Z315" s="11">
        <f>IF(AG1,DATE(2019,1,1),DATE(2019,4,23))</f>
        <v>43578</v>
      </c>
      <c r="AA315" s="12">
        <f>IF(AG1,DATE(2019,1,1),DATE(2019,5,13))</f>
        <v>43598</v>
      </c>
      <c r="AB315" s="11">
        <f>IF(AF1,DATE(2019,1,1),DATE(2019,5,7))</f>
        <v>43592</v>
      </c>
      <c r="AC315" s="12">
        <v>43466</v>
      </c>
      <c r="AD315" s="34"/>
      <c r="AE315" s="33">
        <f t="shared" si="44"/>
        <v>43578</v>
      </c>
      <c r="AF315" s="33">
        <f t="shared" si="45"/>
        <v>43598</v>
      </c>
      <c r="AG315" s="33">
        <f t="shared" si="46"/>
        <v>43615</v>
      </c>
      <c r="AH315">
        <v>390</v>
      </c>
      <c r="AK315" s="36" t="str">
        <f t="shared" si="47"/>
        <v/>
      </c>
      <c r="AL315" t="str">
        <f t="shared" si="48"/>
        <v/>
      </c>
      <c r="AM315">
        <v>12</v>
      </c>
      <c r="AN315">
        <f t="shared" si="49"/>
        <v>37</v>
      </c>
      <c r="AO315" t="str">
        <f t="shared" si="43"/>
        <v>23.4.---13.5.---30.5.</v>
      </c>
      <c r="AP315" t="str">
        <f t="shared" si="50"/>
        <v>Mustapääkerttu</v>
      </c>
      <c r="AQ315" t="str">
        <f t="shared" si="51"/>
        <v>(23.4.---13.5.---30.5., 12/21)</v>
      </c>
    </row>
    <row r="316" spans="1:43" x14ac:dyDescent="0.2">
      <c r="A316" s="1"/>
      <c r="B316" s="9">
        <f t="shared" si="42"/>
        <v>310</v>
      </c>
      <c r="C316" s="10"/>
      <c r="D316" s="9" t="s">
        <v>307</v>
      </c>
      <c r="E316" s="10"/>
      <c r="F316" s="11">
        <v>43613</v>
      </c>
      <c r="G316" s="12">
        <v>43618</v>
      </c>
      <c r="H316" s="11">
        <v>43619</v>
      </c>
      <c r="I316" s="12">
        <v>43616</v>
      </c>
      <c r="J316" s="11">
        <v>43614</v>
      </c>
      <c r="K316" s="12">
        <v>43628</v>
      </c>
      <c r="L316" s="11">
        <v>43618</v>
      </c>
      <c r="M316" s="12">
        <v>43618</v>
      </c>
      <c r="N316" s="11">
        <v>43619</v>
      </c>
      <c r="O316" s="12">
        <v>43619</v>
      </c>
      <c r="P316" s="11">
        <v>43599</v>
      </c>
      <c r="Q316" s="12">
        <v>43624</v>
      </c>
      <c r="R316" s="11">
        <v>43607</v>
      </c>
      <c r="S316" s="12">
        <v>43603</v>
      </c>
      <c r="T316" s="11">
        <v>43604</v>
      </c>
      <c r="U316" s="12">
        <v>43614</v>
      </c>
      <c r="V316" s="11">
        <v>43613</v>
      </c>
      <c r="W316" s="12">
        <v>43619</v>
      </c>
      <c r="X316" s="11">
        <v>43608</v>
      </c>
      <c r="Y316" s="12">
        <v>43604</v>
      </c>
      <c r="Z316" s="11">
        <v>43609</v>
      </c>
      <c r="AA316" s="12">
        <v>43608</v>
      </c>
      <c r="AB316" s="11">
        <v>43616</v>
      </c>
      <c r="AC316" s="12">
        <v>43607</v>
      </c>
      <c r="AD316" s="34"/>
      <c r="AE316" s="33">
        <f t="shared" si="44"/>
        <v>43599</v>
      </c>
      <c r="AF316" s="33">
        <f t="shared" si="45"/>
        <v>43614</v>
      </c>
      <c r="AG316" s="33">
        <f t="shared" si="46"/>
        <v>43628</v>
      </c>
      <c r="AH316">
        <v>394</v>
      </c>
      <c r="AK316" s="36" t="str">
        <f t="shared" si="47"/>
        <v/>
      </c>
      <c r="AL316" t="str">
        <f t="shared" si="48"/>
        <v/>
      </c>
      <c r="AM316" t="s">
        <v>393</v>
      </c>
      <c r="AN316">
        <f t="shared" si="49"/>
        <v>29</v>
      </c>
      <c r="AO316" t="str">
        <f t="shared" si="43"/>
        <v>14.5.---29.5.---12.6.</v>
      </c>
      <c r="AP316" t="str">
        <f t="shared" si="50"/>
        <v>Idänuunilintu</v>
      </c>
      <c r="AQ316" t="str">
        <f t="shared" si="51"/>
        <v>(14.5.---29.5.---12.6.)</v>
      </c>
    </row>
    <row r="317" spans="1:43" x14ac:dyDescent="0.2">
      <c r="A317" s="1"/>
      <c r="B317" s="9">
        <f t="shared" si="42"/>
        <v>311</v>
      </c>
      <c r="C317" s="10"/>
      <c r="D317" s="9" t="s">
        <v>308</v>
      </c>
      <c r="E317" s="10"/>
      <c r="F317" s="11">
        <v>43617</v>
      </c>
      <c r="G317" s="12">
        <v>43624</v>
      </c>
      <c r="H317" s="11">
        <v>43627</v>
      </c>
      <c r="I317" s="12">
        <v>43624</v>
      </c>
      <c r="J317" s="11"/>
      <c r="K317" s="12">
        <v>43648</v>
      </c>
      <c r="L317" s="11">
        <v>43647</v>
      </c>
      <c r="M317" s="12">
        <v>43633</v>
      </c>
      <c r="N317" s="11">
        <v>43630</v>
      </c>
      <c r="O317" s="12">
        <v>43626</v>
      </c>
      <c r="P317" s="11">
        <v>43612</v>
      </c>
      <c r="Q317" s="12">
        <v>43627</v>
      </c>
      <c r="R317" s="11"/>
      <c r="S317" s="12">
        <v>43614</v>
      </c>
      <c r="T317" s="11">
        <v>43638</v>
      </c>
      <c r="U317" s="12"/>
      <c r="V317" s="11"/>
      <c r="W317" s="12">
        <v>43627</v>
      </c>
      <c r="X317" s="11">
        <v>43614</v>
      </c>
      <c r="Y317" s="12">
        <v>43629</v>
      </c>
      <c r="Z317" s="11">
        <v>43649</v>
      </c>
      <c r="AA317" s="12"/>
      <c r="AB317" s="11">
        <v>43636</v>
      </c>
      <c r="AC317" s="12">
        <v>43631</v>
      </c>
      <c r="AD317" s="34"/>
      <c r="AE317" s="33">
        <f t="shared" si="44"/>
        <v>43612</v>
      </c>
      <c r="AF317" s="33">
        <f t="shared" si="45"/>
        <v>43627</v>
      </c>
      <c r="AG317" s="33">
        <f t="shared" si="46"/>
        <v>43649</v>
      </c>
      <c r="AH317">
        <v>395</v>
      </c>
      <c r="AK317" s="36" t="str">
        <f t="shared" si="47"/>
        <v/>
      </c>
      <c r="AL317" t="str">
        <f t="shared" si="48"/>
        <v/>
      </c>
      <c r="AM317" t="s">
        <v>393</v>
      </c>
      <c r="AN317">
        <f t="shared" si="49"/>
        <v>37</v>
      </c>
      <c r="AO317" t="str">
        <f t="shared" si="43"/>
        <v>27.5.---11.6.---3.7.</v>
      </c>
      <c r="AP317" t="str">
        <f t="shared" si="50"/>
        <v>Lapinuunilintu</v>
      </c>
      <c r="AQ317" t="str">
        <f t="shared" si="51"/>
        <v>(27.5.---11.6.---3.7.)</v>
      </c>
    </row>
    <row r="318" spans="1:43" x14ac:dyDescent="0.2">
      <c r="A318" s="1"/>
      <c r="B318" s="9">
        <f t="shared" ref="B318:B381" si="52">B317+1</f>
        <v>312</v>
      </c>
      <c r="C318" s="10"/>
      <c r="D318" s="13" t="s">
        <v>309</v>
      </c>
      <c r="E318" s="14"/>
      <c r="F318" s="11"/>
      <c r="G318" s="12"/>
      <c r="H318" s="11"/>
      <c r="I318" s="12">
        <v>43745</v>
      </c>
      <c r="J318" s="11">
        <v>43746</v>
      </c>
      <c r="K318" s="12"/>
      <c r="L318" s="11"/>
      <c r="M318" s="12">
        <v>43753</v>
      </c>
      <c r="N318" s="11">
        <v>43744</v>
      </c>
      <c r="O318" s="12"/>
      <c r="P318" s="11">
        <v>43744</v>
      </c>
      <c r="Q318" s="12"/>
      <c r="R318" s="11">
        <v>43760</v>
      </c>
      <c r="S318" s="12">
        <v>43727</v>
      </c>
      <c r="T318" s="11">
        <v>43743</v>
      </c>
      <c r="U318" s="12">
        <v>43743</v>
      </c>
      <c r="V318" s="11">
        <v>43729</v>
      </c>
      <c r="W318" s="12">
        <v>43746</v>
      </c>
      <c r="X318" s="11">
        <v>43742</v>
      </c>
      <c r="Y318" s="12">
        <v>43742</v>
      </c>
      <c r="Z318" s="11">
        <v>43748</v>
      </c>
      <c r="AA318" s="12">
        <v>43740</v>
      </c>
      <c r="AB318" s="11">
        <v>43737</v>
      </c>
      <c r="AC318" s="12"/>
      <c r="AD318" s="34"/>
      <c r="AE318" s="33">
        <f t="shared" si="44"/>
        <v>43727</v>
      </c>
      <c r="AF318" s="33">
        <f t="shared" si="45"/>
        <v>43744</v>
      </c>
      <c r="AG318" s="33">
        <f t="shared" si="46"/>
        <v>43760</v>
      </c>
      <c r="AH318">
        <v>397</v>
      </c>
      <c r="AK318" s="36" t="str">
        <f t="shared" si="47"/>
        <v/>
      </c>
      <c r="AL318" t="str">
        <f t="shared" si="48"/>
        <v/>
      </c>
      <c r="AM318" t="s">
        <v>393</v>
      </c>
      <c r="AN318">
        <f t="shared" si="49"/>
        <v>33</v>
      </c>
      <c r="AO318" t="str">
        <f t="shared" si="43"/>
        <v>19.9.---6.10.---22.10.</v>
      </c>
      <c r="AP318" t="str">
        <f t="shared" si="50"/>
        <v>Hippiäisuunilintu</v>
      </c>
      <c r="AQ318" t="str">
        <f t="shared" si="51"/>
        <v>(19.9.---6.10.---22.10.)</v>
      </c>
    </row>
    <row r="319" spans="1:43" x14ac:dyDescent="0.2">
      <c r="A319" s="1"/>
      <c r="B319" s="9">
        <f t="shared" si="52"/>
        <v>313</v>
      </c>
      <c r="C319" s="10"/>
      <c r="D319" s="9" t="s">
        <v>310</v>
      </c>
      <c r="E319" s="10"/>
      <c r="F319" s="11"/>
      <c r="G319" s="12"/>
      <c r="H319" s="11"/>
      <c r="I319" s="12">
        <v>43714</v>
      </c>
      <c r="J319" s="11">
        <v>43714</v>
      </c>
      <c r="K319" s="12">
        <v>43718</v>
      </c>
      <c r="L319" s="11">
        <v>43715</v>
      </c>
      <c r="M319" s="12">
        <v>43721</v>
      </c>
      <c r="N319" s="11">
        <v>43715</v>
      </c>
      <c r="O319" s="12">
        <v>43702</v>
      </c>
      <c r="P319" s="11">
        <v>43719</v>
      </c>
      <c r="Q319" s="12">
        <v>43632</v>
      </c>
      <c r="R319" s="11">
        <v>43710</v>
      </c>
      <c r="S319" s="12">
        <v>43710</v>
      </c>
      <c r="T319" s="11">
        <v>43714</v>
      </c>
      <c r="U319" s="12">
        <v>43712</v>
      </c>
      <c r="V319" s="11">
        <v>43711</v>
      </c>
      <c r="W319" s="12">
        <v>43713</v>
      </c>
      <c r="X319" s="11">
        <v>43706</v>
      </c>
      <c r="Y319" s="12">
        <v>43706</v>
      </c>
      <c r="Z319" s="11">
        <v>43658</v>
      </c>
      <c r="AA319" s="12">
        <v>43711</v>
      </c>
      <c r="AB319" s="11">
        <v>43704</v>
      </c>
      <c r="AC319" s="12">
        <v>43704</v>
      </c>
      <c r="AD319" s="34"/>
      <c r="AE319" s="33">
        <f t="shared" si="44"/>
        <v>43632</v>
      </c>
      <c r="AF319" s="33">
        <f t="shared" si="45"/>
        <v>43712.5</v>
      </c>
      <c r="AG319" s="33">
        <f t="shared" si="46"/>
        <v>43721</v>
      </c>
      <c r="AH319">
        <v>398</v>
      </c>
      <c r="AK319" s="36" t="str">
        <f t="shared" si="47"/>
        <v/>
      </c>
      <c r="AL319" t="str">
        <f t="shared" si="48"/>
        <v/>
      </c>
      <c r="AM319" t="s">
        <v>393</v>
      </c>
      <c r="AN319">
        <f t="shared" si="49"/>
        <v>89</v>
      </c>
      <c r="AO319" t="str">
        <f t="shared" si="43"/>
        <v>16.6.---4.9.---13.9.</v>
      </c>
      <c r="AP319" t="str">
        <f t="shared" si="50"/>
        <v>Taigauunilintu</v>
      </c>
      <c r="AQ319" t="str">
        <f t="shared" si="51"/>
        <v>(16.6.---4.9.---13.9.)</v>
      </c>
    </row>
    <row r="320" spans="1:43" x14ac:dyDescent="0.2">
      <c r="A320" s="1"/>
      <c r="B320" s="9">
        <f t="shared" si="52"/>
        <v>314</v>
      </c>
      <c r="C320" s="10"/>
      <c r="D320" s="23" t="s">
        <v>311</v>
      </c>
      <c r="E320" s="24"/>
      <c r="F320" s="11"/>
      <c r="G320" s="12"/>
      <c r="H320" s="11"/>
      <c r="I320" s="12"/>
      <c r="J320" s="11"/>
      <c r="K320" s="12">
        <v>43776</v>
      </c>
      <c r="L320" s="11"/>
      <c r="M320" s="12">
        <v>43768</v>
      </c>
      <c r="N320" s="11">
        <v>43757</v>
      </c>
      <c r="O320" s="12"/>
      <c r="P320" s="11"/>
      <c r="Q320" s="12"/>
      <c r="R320" s="11"/>
      <c r="S320" s="12"/>
      <c r="T320" s="11">
        <v>43773</v>
      </c>
      <c r="U320" s="12"/>
      <c r="V320" s="11"/>
      <c r="W320" s="12"/>
      <c r="X320" s="11">
        <v>43785</v>
      </c>
      <c r="Y320" s="12"/>
      <c r="Z320" s="11"/>
      <c r="AA320" s="12"/>
      <c r="AB320" s="11">
        <v>43759</v>
      </c>
      <c r="AC320" s="12"/>
      <c r="AD320" s="34"/>
      <c r="AE320" s="33">
        <f t="shared" si="44"/>
        <v>43757</v>
      </c>
      <c r="AF320" s="33">
        <f t="shared" si="45"/>
        <v>43773</v>
      </c>
      <c r="AG320" s="33">
        <f t="shared" si="46"/>
        <v>43785</v>
      </c>
      <c r="AH320">
        <v>399</v>
      </c>
      <c r="AK320" s="36" t="str">
        <f t="shared" si="47"/>
        <v/>
      </c>
      <c r="AL320" t="str">
        <f t="shared" si="48"/>
        <v/>
      </c>
      <c r="AM320" t="s">
        <v>393</v>
      </c>
      <c r="AN320">
        <f t="shared" si="49"/>
        <v>28</v>
      </c>
      <c r="AO320" t="str">
        <f t="shared" si="43"/>
        <v>19.10.---4.11.---16.11.</v>
      </c>
      <c r="AP320" t="str">
        <f t="shared" si="50"/>
        <v>Kashmirinuunilintu</v>
      </c>
      <c r="AQ320" t="str">
        <f t="shared" si="51"/>
        <v>(19.10.---4.11.---16.11.)</v>
      </c>
    </row>
    <row r="321" spans="1:43" x14ac:dyDescent="0.2">
      <c r="A321" s="1"/>
      <c r="B321" s="9">
        <f t="shared" si="52"/>
        <v>315</v>
      </c>
      <c r="C321" s="10"/>
      <c r="D321" s="23" t="s">
        <v>312</v>
      </c>
      <c r="E321" s="24"/>
      <c r="F321" s="11"/>
      <c r="G321" s="12"/>
      <c r="H321" s="11"/>
      <c r="I321" s="12"/>
      <c r="J321" s="11">
        <v>43756</v>
      </c>
      <c r="K321" s="12"/>
      <c r="L321" s="11"/>
      <c r="M321" s="12"/>
      <c r="N321" s="11"/>
      <c r="O321" s="12"/>
      <c r="P321" s="11"/>
      <c r="Q321" s="12"/>
      <c r="R321" s="11"/>
      <c r="S321" s="12"/>
      <c r="T321" s="11"/>
      <c r="U321" s="12"/>
      <c r="V321" s="11"/>
      <c r="W321" s="12"/>
      <c r="X321" s="11"/>
      <c r="Y321" s="12"/>
      <c r="Z321" s="11"/>
      <c r="AA321" s="12"/>
      <c r="AB321" s="11">
        <v>43737</v>
      </c>
      <c r="AC321" s="12"/>
      <c r="AD321" s="34"/>
      <c r="AE321" s="33">
        <f t="shared" si="44"/>
        <v>43756</v>
      </c>
      <c r="AF321" s="33">
        <f t="shared" si="45"/>
        <v>43756</v>
      </c>
      <c r="AG321" s="33">
        <f t="shared" si="46"/>
        <v>43756</v>
      </c>
      <c r="AH321">
        <v>401</v>
      </c>
      <c r="AK321" s="36" t="str">
        <f t="shared" si="47"/>
        <v/>
      </c>
      <c r="AL321" t="str">
        <f t="shared" si="48"/>
        <v/>
      </c>
      <c r="AM321" t="s">
        <v>393</v>
      </c>
      <c r="AN321">
        <f t="shared" si="49"/>
        <v>0</v>
      </c>
      <c r="AO321" t="str">
        <f t="shared" si="43"/>
        <v>18.10.---18.10.---18.10.</v>
      </c>
      <c r="AP321" t="str">
        <f t="shared" si="50"/>
        <v>Ruskouunilintu</v>
      </c>
      <c r="AQ321" t="str">
        <f t="shared" si="51"/>
        <v>(18.10.---18.10.---18.10.)</v>
      </c>
    </row>
    <row r="322" spans="1:43" x14ac:dyDescent="0.2">
      <c r="A322" s="1"/>
      <c r="B322" s="9">
        <f t="shared" si="52"/>
        <v>316</v>
      </c>
      <c r="C322" s="10"/>
      <c r="D322" s="23" t="s">
        <v>313</v>
      </c>
      <c r="E322" s="24"/>
      <c r="F322" s="11"/>
      <c r="G322" s="12"/>
      <c r="H322" s="11"/>
      <c r="I322" s="12"/>
      <c r="J322" s="11">
        <v>43747</v>
      </c>
      <c r="K322" s="12"/>
      <c r="L322" s="11"/>
      <c r="M322" s="12"/>
      <c r="N322" s="11"/>
      <c r="O322" s="12"/>
      <c r="P322" s="11"/>
      <c r="Q322" s="12"/>
      <c r="R322" s="11"/>
      <c r="S322" s="12"/>
      <c r="T322" s="11"/>
      <c r="U322" s="12"/>
      <c r="V322" s="11"/>
      <c r="W322" s="12"/>
      <c r="X322" s="11"/>
      <c r="Y322" s="12"/>
      <c r="Z322" s="11"/>
      <c r="AA322" s="12"/>
      <c r="AB322" s="11"/>
      <c r="AC322" s="12"/>
      <c r="AD322" s="34"/>
      <c r="AE322" s="33">
        <f t="shared" si="44"/>
        <v>43747</v>
      </c>
      <c r="AF322" s="33">
        <f t="shared" si="45"/>
        <v>43747</v>
      </c>
      <c r="AG322" s="33">
        <f t="shared" si="46"/>
        <v>43747</v>
      </c>
      <c r="AH322">
        <v>403</v>
      </c>
      <c r="AK322" s="36" t="str">
        <f t="shared" si="47"/>
        <v/>
      </c>
      <c r="AL322" t="str">
        <f t="shared" si="48"/>
        <v/>
      </c>
      <c r="AM322" t="s">
        <v>393</v>
      </c>
      <c r="AN322">
        <f t="shared" si="49"/>
        <v>0</v>
      </c>
      <c r="AO322" t="str">
        <f t="shared" si="43"/>
        <v>9.10.---9.10.---9.10.</v>
      </c>
      <c r="AP322" t="str">
        <f t="shared" si="50"/>
        <v>Balkaninuunilintu</v>
      </c>
      <c r="AQ322" t="str">
        <f t="shared" si="51"/>
        <v>(9.10.---9.10.---9.10.)</v>
      </c>
    </row>
    <row r="323" spans="1:43" x14ac:dyDescent="0.2">
      <c r="A323" s="1"/>
      <c r="B323" s="9">
        <f t="shared" si="52"/>
        <v>317</v>
      </c>
      <c r="C323" s="10"/>
      <c r="D323" s="9" t="s">
        <v>314</v>
      </c>
      <c r="E323" s="10"/>
      <c r="F323" s="11">
        <v>43593</v>
      </c>
      <c r="G323" s="12">
        <v>43593</v>
      </c>
      <c r="H323" s="11">
        <v>43591</v>
      </c>
      <c r="I323" s="12">
        <v>43596</v>
      </c>
      <c r="J323" s="11">
        <v>43591</v>
      </c>
      <c r="K323" s="12">
        <v>43596</v>
      </c>
      <c r="L323" s="11">
        <v>43593</v>
      </c>
      <c r="M323" s="12">
        <v>43592</v>
      </c>
      <c r="N323" s="11">
        <v>43587</v>
      </c>
      <c r="O323" s="12">
        <v>43587</v>
      </c>
      <c r="P323" s="11">
        <v>43594</v>
      </c>
      <c r="Q323" s="12">
        <v>43598</v>
      </c>
      <c r="R323" s="11">
        <v>43590</v>
      </c>
      <c r="S323" s="12">
        <v>43596</v>
      </c>
      <c r="T323" s="11">
        <v>43596</v>
      </c>
      <c r="U323" s="12">
        <v>43592</v>
      </c>
      <c r="V323" s="11">
        <v>43588</v>
      </c>
      <c r="W323" s="12">
        <v>43585</v>
      </c>
      <c r="X323" s="11">
        <v>43594</v>
      </c>
      <c r="Y323" s="12">
        <v>43599</v>
      </c>
      <c r="Z323" s="11">
        <v>43593</v>
      </c>
      <c r="AA323" s="12">
        <v>43597</v>
      </c>
      <c r="AB323" s="11">
        <v>43595</v>
      </c>
      <c r="AC323" s="12">
        <v>43594</v>
      </c>
      <c r="AD323" s="34"/>
      <c r="AE323" s="33">
        <f t="shared" si="44"/>
        <v>43585</v>
      </c>
      <c r="AF323" s="33">
        <f t="shared" si="45"/>
        <v>43593</v>
      </c>
      <c r="AG323" s="33">
        <f t="shared" si="46"/>
        <v>43599</v>
      </c>
      <c r="AH323">
        <v>404</v>
      </c>
      <c r="AK323" s="36" t="str">
        <f t="shared" si="47"/>
        <v/>
      </c>
      <c r="AL323" t="str">
        <f t="shared" si="48"/>
        <v/>
      </c>
      <c r="AM323" t="s">
        <v>393</v>
      </c>
      <c r="AN323">
        <f t="shared" si="49"/>
        <v>14</v>
      </c>
      <c r="AO323" t="str">
        <f t="shared" si="43"/>
        <v>30.4.---8.5.---14.5.</v>
      </c>
      <c r="AP323" t="str">
        <f t="shared" si="50"/>
        <v>Sirittäjä</v>
      </c>
      <c r="AQ323" t="str">
        <f t="shared" si="51"/>
        <v>(30.4.---8.5.---14.5.)</v>
      </c>
    </row>
    <row r="324" spans="1:43" x14ac:dyDescent="0.2">
      <c r="A324" s="1"/>
      <c r="B324" s="9">
        <f t="shared" si="52"/>
        <v>318</v>
      </c>
      <c r="C324" s="10"/>
      <c r="D324" s="9" t="s">
        <v>315</v>
      </c>
      <c r="E324" s="10"/>
      <c r="F324" s="11">
        <v>43574</v>
      </c>
      <c r="G324" s="12">
        <v>43566</v>
      </c>
      <c r="H324" s="11">
        <v>43575</v>
      </c>
      <c r="I324" s="12">
        <v>43578</v>
      </c>
      <c r="J324" s="11">
        <v>43571</v>
      </c>
      <c r="K324" s="12">
        <v>43569</v>
      </c>
      <c r="L324" s="11">
        <v>43574</v>
      </c>
      <c r="M324" s="12">
        <v>43578</v>
      </c>
      <c r="N324" s="11">
        <v>43561</v>
      </c>
      <c r="O324" s="12">
        <v>43576</v>
      </c>
      <c r="P324" s="11">
        <v>43563</v>
      </c>
      <c r="Q324" s="12">
        <v>43574</v>
      </c>
      <c r="R324" s="11">
        <v>43578</v>
      </c>
      <c r="S324" s="12">
        <v>43575</v>
      </c>
      <c r="T324" s="11">
        <v>43573</v>
      </c>
      <c r="U324" s="12">
        <v>43574</v>
      </c>
      <c r="V324" s="11">
        <v>43564</v>
      </c>
      <c r="W324" s="12">
        <v>43578</v>
      </c>
      <c r="X324" s="11">
        <v>43560</v>
      </c>
      <c r="Y324" s="12">
        <v>43568</v>
      </c>
      <c r="Z324" s="11">
        <v>43562</v>
      </c>
      <c r="AA324" s="12">
        <v>43571</v>
      </c>
      <c r="AB324" s="11">
        <v>43574</v>
      </c>
      <c r="AC324" s="12">
        <v>43567</v>
      </c>
      <c r="AD324" s="34"/>
      <c r="AE324" s="33">
        <f t="shared" si="44"/>
        <v>43560</v>
      </c>
      <c r="AF324" s="33">
        <f t="shared" si="45"/>
        <v>43574</v>
      </c>
      <c r="AG324" s="33">
        <f t="shared" si="46"/>
        <v>43578</v>
      </c>
      <c r="AH324">
        <v>405</v>
      </c>
      <c r="AK324" s="36" t="str">
        <f t="shared" si="47"/>
        <v/>
      </c>
      <c r="AL324" t="str">
        <f t="shared" si="48"/>
        <v/>
      </c>
      <c r="AM324" t="s">
        <v>393</v>
      </c>
      <c r="AN324">
        <f t="shared" si="49"/>
        <v>18</v>
      </c>
      <c r="AO324" t="str">
        <f t="shared" ref="AO324:AO391" si="53">TEXT(AE324, "p.k.")  &amp; "---" &amp; TEXT(AF324, "p.k.")  &amp; "---" &amp; TEXT(AG324, "p.k.")</f>
        <v>5.4.---19.4.---23.4.</v>
      </c>
      <c r="AP324" t="str">
        <f t="shared" si="50"/>
        <v>Tiltaltti</v>
      </c>
      <c r="AQ324" t="str">
        <f t="shared" si="51"/>
        <v>(5.4.---19.4.---23.4.)</v>
      </c>
    </row>
    <row r="325" spans="1:43" x14ac:dyDescent="0.2">
      <c r="A325" s="1"/>
      <c r="B325" s="9">
        <f t="shared" si="52"/>
        <v>319</v>
      </c>
      <c r="C325" s="10"/>
      <c r="D325" s="9" t="s">
        <v>316</v>
      </c>
      <c r="E325" s="10"/>
      <c r="F325" s="11">
        <v>43579</v>
      </c>
      <c r="G325" s="12">
        <v>43582</v>
      </c>
      <c r="H325" s="11">
        <v>43582</v>
      </c>
      <c r="I325" s="12">
        <v>43583</v>
      </c>
      <c r="J325" s="11">
        <v>43582</v>
      </c>
      <c r="K325" s="12">
        <v>43583</v>
      </c>
      <c r="L325" s="11">
        <v>43582</v>
      </c>
      <c r="M325" s="12">
        <v>43589</v>
      </c>
      <c r="N325" s="11">
        <v>43582</v>
      </c>
      <c r="O325" s="12">
        <v>43585</v>
      </c>
      <c r="P325" s="11">
        <v>43584</v>
      </c>
      <c r="Q325" s="12">
        <v>43584</v>
      </c>
      <c r="R325" s="11">
        <v>43575</v>
      </c>
      <c r="S325" s="12">
        <v>43578</v>
      </c>
      <c r="T325" s="11">
        <v>43581</v>
      </c>
      <c r="U325" s="12">
        <v>43583</v>
      </c>
      <c r="V325" s="11">
        <v>43582</v>
      </c>
      <c r="W325" s="12">
        <v>43589</v>
      </c>
      <c r="X325" s="11">
        <v>43581</v>
      </c>
      <c r="Y325" s="12">
        <v>43581</v>
      </c>
      <c r="Z325" s="11">
        <v>43575</v>
      </c>
      <c r="AA325" s="12">
        <v>43589</v>
      </c>
      <c r="AB325" s="11">
        <v>43585</v>
      </c>
      <c r="AC325" s="12">
        <v>43581</v>
      </c>
      <c r="AD325" s="34"/>
      <c r="AE325" s="33">
        <f t="shared" ref="AE325:AE388" si="54">IF(SUM(F325:Z325)&gt;0,MIN(F325:Z325),"")</f>
        <v>43575</v>
      </c>
      <c r="AF325" s="33">
        <f t="shared" ref="AF325:AF388" si="55">IF(SUM(F325:Z325)&gt;0,MEDIAN(F325:Z325),"")</f>
        <v>43582</v>
      </c>
      <c r="AG325" s="33">
        <f t="shared" ref="AG325:AG388" si="56">IF(SUM(F325:Z325)&gt;0,MAX(F325:Z325),"")</f>
        <v>43589</v>
      </c>
      <c r="AH325">
        <v>407</v>
      </c>
      <c r="AK325" s="36" t="str">
        <f t="shared" ref="AK325:AK391" si="57">IF(AI325&lt;&gt;"",D325 &amp; "x" &amp; TEXT(AE325, "pp.kk.")  &amp; "2019x" &amp; TEXT(Z325, "pp.kk.") &amp; "2019","")</f>
        <v/>
      </c>
      <c r="AL325" t="str">
        <f t="shared" ref="AL325:AL388" si="58">IF(COUNTIF(F325:Z325,"&lt;01.03.2019")&gt;0,COUNTIF(F325:Z325,"&lt;01.03.2019"),"")</f>
        <v/>
      </c>
      <c r="AM325" t="s">
        <v>393</v>
      </c>
      <c r="AN325">
        <f t="shared" ref="AN325:AN391" si="59">AG325-AE325</f>
        <v>14</v>
      </c>
      <c r="AO325" t="str">
        <f t="shared" si="53"/>
        <v>20.4.---27.4.---4.5.</v>
      </c>
      <c r="AP325" t="str">
        <f t="shared" ref="AP325:AP391" si="60">D325</f>
        <v>Pajulintu</v>
      </c>
      <c r="AQ325" t="str">
        <f t="shared" ref="AQ325:AQ388" si="61">IF(AND(AM325&gt;0,AM325&lt;&gt;""),"(" &amp;AO325 &amp; ", " &amp; AM325 &amp; "/21)","(" &amp; AO325 &amp; ")")</f>
        <v>(20.4.---27.4.---4.5.)</v>
      </c>
    </row>
    <row r="326" spans="1:43" x14ac:dyDescent="0.2">
      <c r="A326" s="1"/>
      <c r="B326" s="9">
        <f t="shared" si="52"/>
        <v>320</v>
      </c>
      <c r="C326" s="10"/>
      <c r="D326" s="9" t="s">
        <v>317</v>
      </c>
      <c r="E326" s="10"/>
      <c r="F326" s="11"/>
      <c r="G326" s="12">
        <v>43466</v>
      </c>
      <c r="H326" s="11"/>
      <c r="I326" s="12">
        <v>43466</v>
      </c>
      <c r="J326" s="11">
        <v>43467</v>
      </c>
      <c r="K326" s="12">
        <v>43466</v>
      </c>
      <c r="L326" s="11">
        <v>43467</v>
      </c>
      <c r="M326" s="12">
        <v>43466</v>
      </c>
      <c r="N326" s="11">
        <v>43466</v>
      </c>
      <c r="O326" s="12">
        <v>43466</v>
      </c>
      <c r="P326" s="11">
        <v>43466</v>
      </c>
      <c r="Q326" s="12">
        <v>43466</v>
      </c>
      <c r="R326" s="11">
        <v>43466</v>
      </c>
      <c r="S326" s="12">
        <v>43466</v>
      </c>
      <c r="T326" s="11">
        <v>43466</v>
      </c>
      <c r="U326" s="12">
        <v>43466</v>
      </c>
      <c r="V326" s="11">
        <v>43466</v>
      </c>
      <c r="W326" s="12">
        <v>43466</v>
      </c>
      <c r="X326" s="11">
        <v>43466</v>
      </c>
      <c r="Y326" s="12">
        <v>43466</v>
      </c>
      <c r="Z326" s="11">
        <v>43466</v>
      </c>
      <c r="AA326" s="12">
        <v>43466</v>
      </c>
      <c r="AB326" s="11">
        <v>43466</v>
      </c>
      <c r="AC326" s="12">
        <v>43466</v>
      </c>
      <c r="AD326" s="34"/>
      <c r="AE326" s="33">
        <f t="shared" si="54"/>
        <v>43466</v>
      </c>
      <c r="AF326" s="33">
        <f t="shared" si="55"/>
        <v>43466</v>
      </c>
      <c r="AG326" s="33">
        <f t="shared" si="56"/>
        <v>43467</v>
      </c>
      <c r="AH326">
        <v>408</v>
      </c>
      <c r="AK326" s="36" t="str">
        <f t="shared" si="57"/>
        <v/>
      </c>
      <c r="AL326">
        <f t="shared" si="58"/>
        <v>19</v>
      </c>
      <c r="AM326">
        <v>19</v>
      </c>
      <c r="AN326">
        <f t="shared" si="59"/>
        <v>1</v>
      </c>
      <c r="AO326" t="str">
        <f t="shared" si="53"/>
        <v>1.1.---1.1.---2.1.</v>
      </c>
      <c r="AP326" t="str">
        <f t="shared" si="60"/>
        <v>Hippiäinen</v>
      </c>
      <c r="AQ326" t="str">
        <f t="shared" si="61"/>
        <v>(1.1.---1.1.---2.1., 19/21)</v>
      </c>
    </row>
    <row r="327" spans="1:43" x14ac:dyDescent="0.2">
      <c r="A327" s="1"/>
      <c r="B327" s="9">
        <f t="shared" si="52"/>
        <v>321</v>
      </c>
      <c r="C327" s="10"/>
      <c r="D327" s="23" t="s">
        <v>318</v>
      </c>
      <c r="E327" s="24"/>
      <c r="F327" s="11"/>
      <c r="G327" s="12"/>
      <c r="H327" s="11"/>
      <c r="I327" s="12"/>
      <c r="J327" s="11">
        <v>43619</v>
      </c>
      <c r="K327" s="12"/>
      <c r="L327" s="11"/>
      <c r="M327" s="12"/>
      <c r="N327" s="11"/>
      <c r="O327" s="12"/>
      <c r="P327" s="11"/>
      <c r="Q327" s="12"/>
      <c r="R327" s="11"/>
      <c r="S327" s="12"/>
      <c r="T327" s="11"/>
      <c r="U327" s="12"/>
      <c r="V327" s="11"/>
      <c r="W327" s="12"/>
      <c r="X327" s="11">
        <v>43763</v>
      </c>
      <c r="Y327" s="12"/>
      <c r="Z327" s="11"/>
      <c r="AA327" s="12"/>
      <c r="AB327" s="11"/>
      <c r="AC327" s="12"/>
      <c r="AD327" s="34"/>
      <c r="AE327" s="33">
        <f t="shared" si="54"/>
        <v>43619</v>
      </c>
      <c r="AF327" s="33">
        <f t="shared" si="55"/>
        <v>43691</v>
      </c>
      <c r="AG327" s="33">
        <f t="shared" si="56"/>
        <v>43763</v>
      </c>
      <c r="AH327">
        <v>409</v>
      </c>
      <c r="AK327" s="36" t="str">
        <f t="shared" si="57"/>
        <v/>
      </c>
      <c r="AL327" t="str">
        <f t="shared" si="58"/>
        <v/>
      </c>
      <c r="AM327" t="s">
        <v>393</v>
      </c>
      <c r="AN327">
        <f t="shared" si="59"/>
        <v>144</v>
      </c>
      <c r="AO327" t="str">
        <f t="shared" si="53"/>
        <v>3.6.---14.8.---25.10.</v>
      </c>
      <c r="AP327" t="str">
        <f t="shared" si="60"/>
        <v>Tulipäähippiäinen</v>
      </c>
      <c r="AQ327" t="str">
        <f t="shared" si="61"/>
        <v>(3.6.---14.8.---25.10.)</v>
      </c>
    </row>
    <row r="328" spans="1:43" x14ac:dyDescent="0.2">
      <c r="A328" s="1"/>
      <c r="B328" s="9">
        <f t="shared" si="52"/>
        <v>322</v>
      </c>
      <c r="C328" s="10"/>
      <c r="D328" s="9" t="s">
        <v>319</v>
      </c>
      <c r="E328" s="10"/>
      <c r="F328" s="11">
        <v>43602</v>
      </c>
      <c r="G328" s="12">
        <v>43600</v>
      </c>
      <c r="H328" s="11">
        <v>43597</v>
      </c>
      <c r="I328" s="12">
        <v>43595</v>
      </c>
      <c r="J328" s="11">
        <v>43592</v>
      </c>
      <c r="K328" s="12">
        <v>43604</v>
      </c>
      <c r="L328" s="11">
        <v>43591</v>
      </c>
      <c r="M328" s="12">
        <v>43591</v>
      </c>
      <c r="N328" s="11">
        <v>43592</v>
      </c>
      <c r="O328" s="12">
        <v>43595</v>
      </c>
      <c r="P328" s="11">
        <v>43598</v>
      </c>
      <c r="Q328" s="12">
        <v>43599</v>
      </c>
      <c r="R328" s="11">
        <v>43595</v>
      </c>
      <c r="S328" s="12">
        <v>43595</v>
      </c>
      <c r="T328" s="11">
        <v>43597</v>
      </c>
      <c r="U328" s="12">
        <v>43586</v>
      </c>
      <c r="V328" s="11">
        <v>43592</v>
      </c>
      <c r="W328" s="12">
        <v>43599</v>
      </c>
      <c r="X328" s="11">
        <v>43595</v>
      </c>
      <c r="Y328" s="12">
        <v>43598</v>
      </c>
      <c r="Z328" s="11">
        <v>43599</v>
      </c>
      <c r="AA328" s="12">
        <v>43597</v>
      </c>
      <c r="AB328" s="11">
        <v>43597</v>
      </c>
      <c r="AC328" s="12">
        <v>43597</v>
      </c>
      <c r="AD328" s="34"/>
      <c r="AE328" s="33">
        <f t="shared" si="54"/>
        <v>43586</v>
      </c>
      <c r="AF328" s="33">
        <f t="shared" si="55"/>
        <v>43595</v>
      </c>
      <c r="AG328" s="33">
        <f t="shared" si="56"/>
        <v>43604</v>
      </c>
      <c r="AH328">
        <v>410</v>
      </c>
      <c r="AK328" s="36" t="str">
        <f t="shared" si="57"/>
        <v/>
      </c>
      <c r="AL328" t="str">
        <f t="shared" si="58"/>
        <v/>
      </c>
      <c r="AM328" t="s">
        <v>393</v>
      </c>
      <c r="AN328">
        <f t="shared" si="59"/>
        <v>18</v>
      </c>
      <c r="AO328" t="str">
        <f t="shared" si="53"/>
        <v>1.5.---10.5.---19.5.</v>
      </c>
      <c r="AP328" t="str">
        <f t="shared" si="60"/>
        <v>Harmaasieppo</v>
      </c>
      <c r="AQ328" t="str">
        <f t="shared" si="61"/>
        <v>(1.5.---10.5.---19.5.)</v>
      </c>
    </row>
    <row r="329" spans="1:43" x14ac:dyDescent="0.2">
      <c r="A329" s="1"/>
      <c r="B329" s="9">
        <f t="shared" si="52"/>
        <v>323</v>
      </c>
      <c r="C329" s="10"/>
      <c r="D329" s="9" t="s">
        <v>320</v>
      </c>
      <c r="E329" s="10"/>
      <c r="F329" s="11">
        <v>43604</v>
      </c>
      <c r="G329" s="12">
        <v>43612</v>
      </c>
      <c r="H329" s="11">
        <v>43613</v>
      </c>
      <c r="I329" s="12">
        <v>43610</v>
      </c>
      <c r="J329" s="11">
        <v>43615</v>
      </c>
      <c r="K329" s="12">
        <v>43608</v>
      </c>
      <c r="L329" s="11">
        <v>43596</v>
      </c>
      <c r="M329" s="12">
        <v>43613</v>
      </c>
      <c r="N329" s="11">
        <v>43608</v>
      </c>
      <c r="O329" s="12">
        <v>43606</v>
      </c>
      <c r="P329" s="11">
        <v>43595</v>
      </c>
      <c r="Q329" s="12">
        <v>43613</v>
      </c>
      <c r="R329" s="11">
        <v>43599</v>
      </c>
      <c r="S329" s="12">
        <v>43599</v>
      </c>
      <c r="T329" s="11">
        <v>43606</v>
      </c>
      <c r="U329" s="12">
        <v>43595</v>
      </c>
      <c r="V329" s="11">
        <v>43594</v>
      </c>
      <c r="W329" s="12">
        <v>43608</v>
      </c>
      <c r="X329" s="11">
        <v>43594</v>
      </c>
      <c r="Y329" s="12">
        <v>43594</v>
      </c>
      <c r="Z329" s="11">
        <v>43602</v>
      </c>
      <c r="AA329" s="12">
        <v>43615</v>
      </c>
      <c r="AB329" s="11">
        <v>43598</v>
      </c>
      <c r="AC329" s="12">
        <v>43599</v>
      </c>
      <c r="AD329" s="34"/>
      <c r="AE329" s="33">
        <f t="shared" si="54"/>
        <v>43594</v>
      </c>
      <c r="AF329" s="33">
        <f t="shared" si="55"/>
        <v>43606</v>
      </c>
      <c r="AG329" s="33">
        <f t="shared" si="56"/>
        <v>43615</v>
      </c>
      <c r="AH329">
        <v>411</v>
      </c>
      <c r="AK329" s="36" t="str">
        <f t="shared" si="57"/>
        <v/>
      </c>
      <c r="AL329" t="str">
        <f t="shared" si="58"/>
        <v/>
      </c>
      <c r="AM329" t="s">
        <v>393</v>
      </c>
      <c r="AN329">
        <f t="shared" si="59"/>
        <v>21</v>
      </c>
      <c r="AO329" t="str">
        <f t="shared" si="53"/>
        <v>9.5.---21.5.---30.5.</v>
      </c>
      <c r="AP329" t="str">
        <f t="shared" si="60"/>
        <v>Pikkusieppo</v>
      </c>
      <c r="AQ329" t="str">
        <f t="shared" si="61"/>
        <v>(9.5.---21.5.---30.5.)</v>
      </c>
    </row>
    <row r="330" spans="1:43" x14ac:dyDescent="0.2">
      <c r="A330" s="1"/>
      <c r="B330" s="9">
        <f t="shared" si="52"/>
        <v>324</v>
      </c>
      <c r="C330" s="10"/>
      <c r="D330" s="9" t="s">
        <v>321</v>
      </c>
      <c r="E330" s="10"/>
      <c r="F330" s="11"/>
      <c r="G330" s="12"/>
      <c r="H330" s="11"/>
      <c r="I330" s="12"/>
      <c r="J330" s="11"/>
      <c r="K330" s="12"/>
      <c r="L330" s="11"/>
      <c r="M330" s="12"/>
      <c r="N330" s="11"/>
      <c r="O330" s="12"/>
      <c r="P330" s="11">
        <v>43601</v>
      </c>
      <c r="Q330" s="12"/>
      <c r="R330" s="11"/>
      <c r="S330" s="12"/>
      <c r="T330" s="11"/>
      <c r="U330" s="12">
        <v>43749</v>
      </c>
      <c r="V330" s="11"/>
      <c r="W330" s="12"/>
      <c r="X330" s="11">
        <v>43611</v>
      </c>
      <c r="Y330" s="12"/>
      <c r="Z330" s="11">
        <v>43619</v>
      </c>
      <c r="AA330" s="12"/>
      <c r="AB330" s="11"/>
      <c r="AC330" s="12"/>
      <c r="AD330" s="34"/>
      <c r="AE330" s="33">
        <f t="shared" si="54"/>
        <v>43601</v>
      </c>
      <c r="AF330" s="33">
        <f t="shared" si="55"/>
        <v>43615</v>
      </c>
      <c r="AG330" s="33">
        <f t="shared" si="56"/>
        <v>43749</v>
      </c>
      <c r="AH330">
        <v>413</v>
      </c>
      <c r="AK330" s="36" t="str">
        <f t="shared" si="57"/>
        <v/>
      </c>
      <c r="AL330" t="str">
        <f t="shared" si="58"/>
        <v/>
      </c>
      <c r="AM330" t="s">
        <v>393</v>
      </c>
      <c r="AN330">
        <f t="shared" si="59"/>
        <v>148</v>
      </c>
      <c r="AO330" t="str">
        <f t="shared" si="53"/>
        <v>16.5.---30.5.---11.10.</v>
      </c>
      <c r="AP330" t="str">
        <f t="shared" si="60"/>
        <v>Sepelsieppo</v>
      </c>
      <c r="AQ330" t="str">
        <f t="shared" si="61"/>
        <v>(16.5.---30.5.---11.10.)</v>
      </c>
    </row>
    <row r="331" spans="1:43" x14ac:dyDescent="0.2">
      <c r="A331" s="1"/>
      <c r="B331" s="9">
        <f t="shared" si="52"/>
        <v>325</v>
      </c>
      <c r="C331" s="10"/>
      <c r="D331" s="9" t="s">
        <v>322</v>
      </c>
      <c r="E331" s="10"/>
      <c r="F331" s="11">
        <v>43582</v>
      </c>
      <c r="G331" s="12">
        <v>43578</v>
      </c>
      <c r="H331" s="11">
        <v>43583</v>
      </c>
      <c r="I331" s="12">
        <v>43589</v>
      </c>
      <c r="J331" s="11">
        <v>43574</v>
      </c>
      <c r="K331" s="12">
        <v>43587</v>
      </c>
      <c r="L331" s="11">
        <v>43582</v>
      </c>
      <c r="M331" s="12">
        <v>43584</v>
      </c>
      <c r="N331" s="11">
        <v>43584</v>
      </c>
      <c r="O331" s="12">
        <v>43585</v>
      </c>
      <c r="P331" s="11">
        <v>43584</v>
      </c>
      <c r="Q331" s="12">
        <v>43578</v>
      </c>
      <c r="R331" s="11">
        <v>43575</v>
      </c>
      <c r="S331" s="12">
        <v>43579</v>
      </c>
      <c r="T331" s="11">
        <v>43583</v>
      </c>
      <c r="U331" s="12">
        <v>43583</v>
      </c>
      <c r="V331" s="11">
        <v>43575</v>
      </c>
      <c r="W331" s="12">
        <v>43584</v>
      </c>
      <c r="X331" s="11">
        <v>43580</v>
      </c>
      <c r="Y331" s="12">
        <v>43580</v>
      </c>
      <c r="Z331" s="11">
        <v>43585</v>
      </c>
      <c r="AA331" s="12">
        <v>43583</v>
      </c>
      <c r="AB331" s="11">
        <v>43586</v>
      </c>
      <c r="AC331" s="12">
        <v>43582</v>
      </c>
      <c r="AD331" s="34"/>
      <c r="AE331" s="33">
        <f t="shared" si="54"/>
        <v>43574</v>
      </c>
      <c r="AF331" s="33">
        <f t="shared" si="55"/>
        <v>43583</v>
      </c>
      <c r="AG331" s="33">
        <f t="shared" si="56"/>
        <v>43589</v>
      </c>
      <c r="AH331">
        <v>414</v>
      </c>
      <c r="AK331" s="36" t="str">
        <f t="shared" si="57"/>
        <v/>
      </c>
      <c r="AL331" t="str">
        <f t="shared" si="58"/>
        <v/>
      </c>
      <c r="AM331" t="s">
        <v>393</v>
      </c>
      <c r="AN331">
        <f t="shared" si="59"/>
        <v>15</v>
      </c>
      <c r="AO331" t="str">
        <f t="shared" si="53"/>
        <v>19.4.---28.4.---4.5.</v>
      </c>
      <c r="AP331" t="str">
        <f t="shared" si="60"/>
        <v>Kirjosieppo</v>
      </c>
      <c r="AQ331" t="str">
        <f t="shared" si="61"/>
        <v>(19.4.---28.4.---4.5.)</v>
      </c>
    </row>
    <row r="332" spans="1:43" x14ac:dyDescent="0.2">
      <c r="A332" s="1"/>
      <c r="B332" s="9">
        <f t="shared" si="52"/>
        <v>326</v>
      </c>
      <c r="C332" s="10"/>
      <c r="D332" s="9" t="s">
        <v>323</v>
      </c>
      <c r="E332" s="10"/>
      <c r="F332" s="11">
        <v>43482</v>
      </c>
      <c r="G332" s="12">
        <v>43490</v>
      </c>
      <c r="H332" s="11">
        <v>43482</v>
      </c>
      <c r="I332" s="12">
        <v>43552</v>
      </c>
      <c r="J332" s="11">
        <v>43466</v>
      </c>
      <c r="K332" s="12">
        <v>43532</v>
      </c>
      <c r="L332" s="11">
        <v>43475</v>
      </c>
      <c r="M332" s="12">
        <v>43471</v>
      </c>
      <c r="N332" s="11">
        <v>43477</v>
      </c>
      <c r="O332" s="12">
        <v>43467</v>
      </c>
      <c r="P332" s="11">
        <v>43476</v>
      </c>
      <c r="Q332" s="12">
        <v>43471</v>
      </c>
      <c r="R332" s="11">
        <v>43473</v>
      </c>
      <c r="S332" s="12">
        <v>43641</v>
      </c>
      <c r="T332" s="11"/>
      <c r="U332" s="12"/>
      <c r="V332" s="11">
        <v>43583</v>
      </c>
      <c r="W332" s="12"/>
      <c r="X332" s="11">
        <v>43815</v>
      </c>
      <c r="Y332" s="12">
        <v>43467</v>
      </c>
      <c r="Z332" s="11">
        <v>43557</v>
      </c>
      <c r="AA332" s="12">
        <v>43466</v>
      </c>
      <c r="AB332" s="11">
        <v>43524</v>
      </c>
      <c r="AC332" s="12">
        <v>43485</v>
      </c>
      <c r="AD332" s="34"/>
      <c r="AE332" s="33">
        <f t="shared" si="54"/>
        <v>43466</v>
      </c>
      <c r="AF332" s="33">
        <f t="shared" si="55"/>
        <v>43479.5</v>
      </c>
      <c r="AG332" s="33">
        <f t="shared" si="56"/>
        <v>43815</v>
      </c>
      <c r="AH332">
        <v>415</v>
      </c>
      <c r="AK332" s="36" t="str">
        <f t="shared" si="57"/>
        <v/>
      </c>
      <c r="AL332">
        <f t="shared" si="58"/>
        <v>12</v>
      </c>
      <c r="AM332">
        <v>12</v>
      </c>
      <c r="AN332">
        <f t="shared" si="59"/>
        <v>349</v>
      </c>
      <c r="AO332" t="str">
        <f t="shared" si="53"/>
        <v>1.1.---14.1.---16.12.</v>
      </c>
      <c r="AP332" t="str">
        <f t="shared" si="60"/>
        <v>Viiksitimali</v>
      </c>
      <c r="AQ332" t="str">
        <f t="shared" si="61"/>
        <v>(1.1.---14.1.---16.12., 12/21)</v>
      </c>
    </row>
    <row r="333" spans="1:43" x14ac:dyDescent="0.2">
      <c r="A333" s="1"/>
      <c r="B333" s="9">
        <f t="shared" si="52"/>
        <v>327</v>
      </c>
      <c r="C333" s="10"/>
      <c r="D333" s="9" t="s">
        <v>324</v>
      </c>
      <c r="E333" s="10"/>
      <c r="F333" s="11">
        <v>43466</v>
      </c>
      <c r="G333" s="12">
        <v>43466</v>
      </c>
      <c r="H333" s="11">
        <v>43477</v>
      </c>
      <c r="I333" s="12">
        <v>43469</v>
      </c>
      <c r="J333" s="11">
        <v>43468</v>
      </c>
      <c r="K333" s="12">
        <v>43466</v>
      </c>
      <c r="L333" s="11">
        <v>43466</v>
      </c>
      <c r="M333" s="12">
        <v>43466</v>
      </c>
      <c r="N333" s="11">
        <v>43466</v>
      </c>
      <c r="O333" s="12">
        <v>43466</v>
      </c>
      <c r="P333" s="11">
        <v>43466</v>
      </c>
      <c r="Q333" s="12">
        <v>43466</v>
      </c>
      <c r="R333" s="11">
        <v>43466</v>
      </c>
      <c r="S333" s="12">
        <v>43468</v>
      </c>
      <c r="T333" s="11">
        <v>43466</v>
      </c>
      <c r="U333" s="12">
        <v>43466</v>
      </c>
      <c r="V333" s="11">
        <v>43466</v>
      </c>
      <c r="W333" s="12">
        <v>43466</v>
      </c>
      <c r="X333" s="11">
        <v>43469</v>
      </c>
      <c r="Y333" s="12">
        <v>43467</v>
      </c>
      <c r="Z333" s="11">
        <v>43466</v>
      </c>
      <c r="AA333" s="12">
        <v>43468</v>
      </c>
      <c r="AB333" s="11">
        <v>43468</v>
      </c>
      <c r="AC333" s="12">
        <v>43479</v>
      </c>
      <c r="AD333" s="34"/>
      <c r="AE333" s="33">
        <f t="shared" si="54"/>
        <v>43466</v>
      </c>
      <c r="AF333" s="33">
        <f t="shared" si="55"/>
        <v>43466</v>
      </c>
      <c r="AG333" s="33">
        <f t="shared" si="56"/>
        <v>43477</v>
      </c>
      <c r="AH333">
        <v>416</v>
      </c>
      <c r="AK333" s="36" t="str">
        <f t="shared" si="57"/>
        <v/>
      </c>
      <c r="AL333">
        <f t="shared" si="58"/>
        <v>21</v>
      </c>
      <c r="AM333">
        <v>21</v>
      </c>
      <c r="AN333">
        <f t="shared" si="59"/>
        <v>11</v>
      </c>
      <c r="AO333" t="str">
        <f t="shared" si="53"/>
        <v>1.1.---1.1.---12.1.</v>
      </c>
      <c r="AP333" t="str">
        <f t="shared" si="60"/>
        <v>Pyrstötiainen</v>
      </c>
      <c r="AQ333" t="str">
        <f t="shared" si="61"/>
        <v>(1.1.---1.1.---12.1., 21/21)</v>
      </c>
    </row>
    <row r="334" spans="1:43" x14ac:dyDescent="0.2">
      <c r="A334" s="1"/>
      <c r="B334" s="9">
        <f t="shared" si="52"/>
        <v>328</v>
      </c>
      <c r="C334" s="10"/>
      <c r="D334" s="15" t="s">
        <v>325</v>
      </c>
      <c r="E334" s="16"/>
      <c r="F334" s="11"/>
      <c r="G334" s="12"/>
      <c r="H334" s="11"/>
      <c r="I334" s="12"/>
      <c r="J334" s="11"/>
      <c r="K334" s="12">
        <v>43788</v>
      </c>
      <c r="L334" s="11">
        <v>43805</v>
      </c>
      <c r="M334" s="12">
        <v>43466</v>
      </c>
      <c r="N334" s="11"/>
      <c r="O334" s="12">
        <v>43798</v>
      </c>
      <c r="P334" s="11">
        <v>43495</v>
      </c>
      <c r="Q334" s="12"/>
      <c r="R334" s="11"/>
      <c r="S334" s="12"/>
      <c r="T334" s="11"/>
      <c r="U334" s="12"/>
      <c r="V334" s="11"/>
      <c r="W334" s="12">
        <v>43569</v>
      </c>
      <c r="X334" s="11"/>
      <c r="Y334" s="12"/>
      <c r="Z334" s="11"/>
      <c r="AA334" s="12"/>
      <c r="AB334" s="11"/>
      <c r="AC334" s="12"/>
      <c r="AD334" s="34"/>
      <c r="AE334" s="33">
        <f t="shared" si="54"/>
        <v>43466</v>
      </c>
      <c r="AF334" s="33">
        <f t="shared" si="55"/>
        <v>43678.5</v>
      </c>
      <c r="AG334" s="33">
        <f t="shared" si="56"/>
        <v>43805</v>
      </c>
      <c r="AH334">
        <v>417</v>
      </c>
      <c r="AK334" s="36" t="str">
        <f t="shared" si="57"/>
        <v/>
      </c>
      <c r="AL334">
        <f t="shared" si="58"/>
        <v>2</v>
      </c>
      <c r="AM334">
        <v>2</v>
      </c>
      <c r="AN334">
        <f t="shared" si="59"/>
        <v>339</v>
      </c>
      <c r="AO334" t="str">
        <f t="shared" si="53"/>
        <v>1.1.---1.8.---6.12.</v>
      </c>
      <c r="AP334" t="str">
        <f t="shared" si="60"/>
        <v>Valkopäätiainen</v>
      </c>
      <c r="AQ334" t="str">
        <f t="shared" si="61"/>
        <v>(1.1.---1.8.---6.12., 2/21)</v>
      </c>
    </row>
    <row r="335" spans="1:43" x14ac:dyDescent="0.2">
      <c r="A335" s="1"/>
      <c r="B335" s="9">
        <f t="shared" si="52"/>
        <v>329</v>
      </c>
      <c r="C335" s="10"/>
      <c r="D335" s="9" t="s">
        <v>326</v>
      </c>
      <c r="E335" s="10"/>
      <c r="F335" s="11"/>
      <c r="G335" s="12"/>
      <c r="H335" s="11"/>
      <c r="I335" s="12">
        <v>43466</v>
      </c>
      <c r="J335" s="11">
        <v>43466</v>
      </c>
      <c r="K335" s="12">
        <v>43466</v>
      </c>
      <c r="L335" s="11">
        <v>43466</v>
      </c>
      <c r="M335" s="12">
        <v>43466</v>
      </c>
      <c r="N335" s="11">
        <v>43466</v>
      </c>
      <c r="O335" s="12">
        <v>43466</v>
      </c>
      <c r="P335" s="11">
        <v>43466</v>
      </c>
      <c r="Q335" s="12">
        <v>43466</v>
      </c>
      <c r="R335" s="11">
        <v>43466</v>
      </c>
      <c r="S335" s="12">
        <v>43466</v>
      </c>
      <c r="T335" s="11">
        <v>43466</v>
      </c>
      <c r="U335" s="12">
        <v>43466</v>
      </c>
      <c r="V335" s="11">
        <v>43466</v>
      </c>
      <c r="W335" s="12">
        <v>43466</v>
      </c>
      <c r="X335" s="11">
        <v>43466</v>
      </c>
      <c r="Y335" s="12">
        <v>43466</v>
      </c>
      <c r="Z335" s="11">
        <v>43466</v>
      </c>
      <c r="AA335" s="12">
        <v>43466</v>
      </c>
      <c r="AB335" s="11">
        <v>43466</v>
      </c>
      <c r="AC335" s="12">
        <v>43466</v>
      </c>
      <c r="AD335" s="34"/>
      <c r="AE335" s="33">
        <f t="shared" si="54"/>
        <v>43466</v>
      </c>
      <c r="AF335" s="33">
        <f t="shared" si="55"/>
        <v>43466</v>
      </c>
      <c r="AG335" s="33">
        <f t="shared" si="56"/>
        <v>43466</v>
      </c>
      <c r="AH335">
        <v>418</v>
      </c>
      <c r="AK335" s="36" t="str">
        <f t="shared" si="57"/>
        <v/>
      </c>
      <c r="AL335">
        <f t="shared" si="58"/>
        <v>18</v>
      </c>
      <c r="AM335">
        <v>18</v>
      </c>
      <c r="AN335">
        <f t="shared" si="59"/>
        <v>0</v>
      </c>
      <c r="AO335" t="str">
        <f t="shared" si="53"/>
        <v>1.1.---1.1.---1.1.</v>
      </c>
      <c r="AP335" t="str">
        <f t="shared" si="60"/>
        <v>Sinitiainen</v>
      </c>
      <c r="AQ335" t="str">
        <f t="shared" si="61"/>
        <v>(1.1.---1.1.---1.1., 18/21)</v>
      </c>
    </row>
    <row r="336" spans="1:43" x14ac:dyDescent="0.2">
      <c r="A336" s="1"/>
      <c r="B336" s="9">
        <f t="shared" si="52"/>
        <v>330</v>
      </c>
      <c r="C336" s="10"/>
      <c r="D336" s="9" t="s">
        <v>327</v>
      </c>
      <c r="E336" s="10"/>
      <c r="F336" s="11"/>
      <c r="G336" s="12"/>
      <c r="H336" s="11"/>
      <c r="I336" s="12">
        <v>43466</v>
      </c>
      <c r="J336" s="11">
        <v>43466</v>
      </c>
      <c r="K336" s="12">
        <v>43466</v>
      </c>
      <c r="L336" s="11">
        <v>43466</v>
      </c>
      <c r="M336" s="12">
        <v>43466</v>
      </c>
      <c r="N336" s="11">
        <v>43466</v>
      </c>
      <c r="O336" s="12">
        <v>43466</v>
      </c>
      <c r="P336" s="11">
        <v>43466</v>
      </c>
      <c r="Q336" s="12">
        <v>43466</v>
      </c>
      <c r="R336" s="11">
        <v>43466</v>
      </c>
      <c r="S336" s="12">
        <v>43466</v>
      </c>
      <c r="T336" s="11">
        <v>43466</v>
      </c>
      <c r="U336" s="12">
        <v>43466</v>
      </c>
      <c r="V336" s="11">
        <v>43466</v>
      </c>
      <c r="W336" s="12">
        <v>43466</v>
      </c>
      <c r="X336" s="11">
        <v>43466</v>
      </c>
      <c r="Y336" s="12">
        <v>43466</v>
      </c>
      <c r="Z336" s="11">
        <v>43466</v>
      </c>
      <c r="AA336" s="12">
        <v>43466</v>
      </c>
      <c r="AB336" s="11">
        <v>43466</v>
      </c>
      <c r="AC336" s="12">
        <v>43466</v>
      </c>
      <c r="AD336" s="34"/>
      <c r="AE336" s="33">
        <f t="shared" si="54"/>
        <v>43466</v>
      </c>
      <c r="AF336" s="33">
        <f t="shared" si="55"/>
        <v>43466</v>
      </c>
      <c r="AG336" s="33">
        <f t="shared" si="56"/>
        <v>43466</v>
      </c>
      <c r="AH336">
        <v>419</v>
      </c>
      <c r="AK336" s="36" t="str">
        <f t="shared" si="57"/>
        <v/>
      </c>
      <c r="AL336">
        <f t="shared" si="58"/>
        <v>18</v>
      </c>
      <c r="AM336">
        <v>18</v>
      </c>
      <c r="AN336">
        <f t="shared" si="59"/>
        <v>0</v>
      </c>
      <c r="AO336" t="str">
        <f t="shared" si="53"/>
        <v>1.1.---1.1.---1.1.</v>
      </c>
      <c r="AP336" t="str">
        <f t="shared" si="60"/>
        <v>Talitiainen</v>
      </c>
      <c r="AQ336" t="str">
        <f t="shared" si="61"/>
        <v>(1.1.---1.1.---1.1., 18/21)</v>
      </c>
    </row>
    <row r="337" spans="1:43" x14ac:dyDescent="0.2">
      <c r="A337" s="1"/>
      <c r="B337" s="9">
        <f t="shared" si="52"/>
        <v>331</v>
      </c>
      <c r="C337" s="10"/>
      <c r="D337" s="9" t="s">
        <v>328</v>
      </c>
      <c r="E337" s="10"/>
      <c r="F337" s="11"/>
      <c r="G337" s="12"/>
      <c r="H337" s="11"/>
      <c r="I337" s="12">
        <v>43466</v>
      </c>
      <c r="J337" s="11">
        <v>43466</v>
      </c>
      <c r="K337" s="12">
        <v>43466</v>
      </c>
      <c r="L337" s="11">
        <v>43466</v>
      </c>
      <c r="M337" s="12">
        <v>43466</v>
      </c>
      <c r="N337" s="11">
        <v>43466</v>
      </c>
      <c r="O337" s="12">
        <v>43466</v>
      </c>
      <c r="P337" s="11">
        <v>43466</v>
      </c>
      <c r="Q337" s="12">
        <v>43466</v>
      </c>
      <c r="R337" s="11">
        <v>43466</v>
      </c>
      <c r="S337" s="12">
        <v>43466</v>
      </c>
      <c r="T337" s="11">
        <v>43466</v>
      </c>
      <c r="U337" s="12">
        <v>43466</v>
      </c>
      <c r="V337" s="11">
        <v>43466</v>
      </c>
      <c r="W337" s="12">
        <v>43466</v>
      </c>
      <c r="X337" s="11">
        <v>43466</v>
      </c>
      <c r="Y337" s="12">
        <v>43466</v>
      </c>
      <c r="Z337" s="11">
        <v>43466</v>
      </c>
      <c r="AA337" s="12">
        <v>43466</v>
      </c>
      <c r="AB337" s="11">
        <v>43466</v>
      </c>
      <c r="AC337" s="12">
        <v>43466</v>
      </c>
      <c r="AD337" s="34"/>
      <c r="AE337" s="33">
        <f t="shared" si="54"/>
        <v>43466</v>
      </c>
      <c r="AF337" s="33">
        <f t="shared" si="55"/>
        <v>43466</v>
      </c>
      <c r="AG337" s="33">
        <f t="shared" si="56"/>
        <v>43466</v>
      </c>
      <c r="AH337">
        <v>420</v>
      </c>
      <c r="AK337" s="36" t="str">
        <f t="shared" si="57"/>
        <v/>
      </c>
      <c r="AL337">
        <f t="shared" si="58"/>
        <v>18</v>
      </c>
      <c r="AM337">
        <v>18</v>
      </c>
      <c r="AN337">
        <f t="shared" si="59"/>
        <v>0</v>
      </c>
      <c r="AO337" t="str">
        <f t="shared" si="53"/>
        <v>1.1.---1.1.---1.1.</v>
      </c>
      <c r="AP337" t="str">
        <f t="shared" si="60"/>
        <v>Kuusitiainen</v>
      </c>
      <c r="AQ337" t="str">
        <f t="shared" si="61"/>
        <v>(1.1.---1.1.---1.1., 18/21)</v>
      </c>
    </row>
    <row r="338" spans="1:43" x14ac:dyDescent="0.2">
      <c r="A338" s="1"/>
      <c r="B338" s="9">
        <f t="shared" si="52"/>
        <v>332</v>
      </c>
      <c r="C338" s="10"/>
      <c r="D338" s="9" t="s">
        <v>329</v>
      </c>
      <c r="E338" s="10"/>
      <c r="F338" s="11"/>
      <c r="G338" s="12"/>
      <c r="H338" s="11"/>
      <c r="I338" s="12">
        <v>43466</v>
      </c>
      <c r="J338" s="11">
        <v>43466</v>
      </c>
      <c r="K338" s="12">
        <v>43466</v>
      </c>
      <c r="L338" s="11">
        <v>43466</v>
      </c>
      <c r="M338" s="12">
        <v>43466</v>
      </c>
      <c r="N338" s="11">
        <v>43466</v>
      </c>
      <c r="O338" s="12">
        <v>43466</v>
      </c>
      <c r="P338" s="11">
        <v>43466</v>
      </c>
      <c r="Q338" s="12">
        <v>43466</v>
      </c>
      <c r="R338" s="11">
        <v>43466</v>
      </c>
      <c r="S338" s="12">
        <v>43466</v>
      </c>
      <c r="T338" s="11">
        <v>43466</v>
      </c>
      <c r="U338" s="12">
        <v>43466</v>
      </c>
      <c r="V338" s="11">
        <v>43466</v>
      </c>
      <c r="W338" s="12">
        <v>43466</v>
      </c>
      <c r="X338" s="11">
        <v>43466</v>
      </c>
      <c r="Y338" s="12">
        <v>43466</v>
      </c>
      <c r="Z338" s="11">
        <v>43466</v>
      </c>
      <c r="AA338" s="12">
        <v>43466</v>
      </c>
      <c r="AB338" s="11">
        <v>43466</v>
      </c>
      <c r="AC338" s="12">
        <v>43466</v>
      </c>
      <c r="AD338" s="34"/>
      <c r="AE338" s="33">
        <f t="shared" si="54"/>
        <v>43466</v>
      </c>
      <c r="AF338" s="33">
        <f t="shared" si="55"/>
        <v>43466</v>
      </c>
      <c r="AG338" s="33">
        <f t="shared" si="56"/>
        <v>43466</v>
      </c>
      <c r="AH338">
        <v>421</v>
      </c>
      <c r="AK338" s="36" t="str">
        <f t="shared" si="57"/>
        <v/>
      </c>
      <c r="AL338">
        <f t="shared" si="58"/>
        <v>18</v>
      </c>
      <c r="AM338">
        <v>18</v>
      </c>
      <c r="AN338">
        <f t="shared" si="59"/>
        <v>0</v>
      </c>
      <c r="AO338" t="str">
        <f t="shared" si="53"/>
        <v>1.1.---1.1.---1.1.</v>
      </c>
      <c r="AP338" t="str">
        <f t="shared" si="60"/>
        <v>Töyhtötiainen</v>
      </c>
      <c r="AQ338" t="str">
        <f t="shared" si="61"/>
        <v>(1.1.---1.1.---1.1., 18/21)</v>
      </c>
    </row>
    <row r="339" spans="1:43" x14ac:dyDescent="0.2">
      <c r="A339" s="1"/>
      <c r="B339" s="9">
        <f t="shared" si="52"/>
        <v>333</v>
      </c>
      <c r="C339" s="10"/>
      <c r="D339" s="15" t="s">
        <v>330</v>
      </c>
      <c r="E339" s="16"/>
      <c r="F339" s="11"/>
      <c r="G339" s="12"/>
      <c r="H339" s="11"/>
      <c r="I339" s="12"/>
      <c r="J339" s="11"/>
      <c r="K339" s="12"/>
      <c r="L339" s="11"/>
      <c r="M339" s="12"/>
      <c r="N339" s="11"/>
      <c r="O339" s="12"/>
      <c r="P339" s="11">
        <v>43739</v>
      </c>
      <c r="Q339" s="12">
        <v>43474</v>
      </c>
      <c r="R339" s="11"/>
      <c r="S339" s="12"/>
      <c r="T339" s="11">
        <v>43765</v>
      </c>
      <c r="U339" s="12"/>
      <c r="V339" s="11">
        <v>43473</v>
      </c>
      <c r="W339" s="12">
        <v>43466</v>
      </c>
      <c r="X339" s="11"/>
      <c r="Y339" s="12"/>
      <c r="Z339" s="11"/>
      <c r="AA339" s="12"/>
      <c r="AB339" s="11"/>
      <c r="AC339" s="12"/>
      <c r="AD339" s="34"/>
      <c r="AE339" s="33">
        <f t="shared" si="54"/>
        <v>43466</v>
      </c>
      <c r="AF339" s="33">
        <f t="shared" si="55"/>
        <v>43474</v>
      </c>
      <c r="AG339" s="33">
        <f t="shared" si="56"/>
        <v>43765</v>
      </c>
      <c r="AH339">
        <v>422</v>
      </c>
      <c r="AK339" s="36" t="str">
        <f t="shared" si="57"/>
        <v/>
      </c>
      <c r="AL339">
        <f t="shared" si="58"/>
        <v>3</v>
      </c>
      <c r="AM339">
        <v>3</v>
      </c>
      <c r="AN339">
        <f t="shared" si="59"/>
        <v>299</v>
      </c>
      <c r="AO339" t="str">
        <f t="shared" si="53"/>
        <v>1.1.---9.1.---27.10.</v>
      </c>
      <c r="AP339" t="str">
        <f t="shared" si="60"/>
        <v>Viitatiainen</v>
      </c>
      <c r="AQ339" t="str">
        <f t="shared" si="61"/>
        <v>(1.1.---9.1.---27.10., 3/21)</v>
      </c>
    </row>
    <row r="340" spans="1:43" x14ac:dyDescent="0.2">
      <c r="A340" s="1"/>
      <c r="B340" s="9">
        <f t="shared" si="52"/>
        <v>334</v>
      </c>
      <c r="C340" s="10"/>
      <c r="D340" s="9" t="s">
        <v>331</v>
      </c>
      <c r="E340" s="10"/>
      <c r="F340" s="11"/>
      <c r="G340" s="12"/>
      <c r="H340" s="11"/>
      <c r="I340" s="12">
        <v>43466</v>
      </c>
      <c r="J340" s="11">
        <v>43466</v>
      </c>
      <c r="K340" s="12">
        <v>43466</v>
      </c>
      <c r="L340" s="11">
        <v>43466</v>
      </c>
      <c r="M340" s="12">
        <v>43466</v>
      </c>
      <c r="N340" s="11">
        <v>43466</v>
      </c>
      <c r="O340" s="12">
        <v>43466</v>
      </c>
      <c r="P340" s="11">
        <v>43466</v>
      </c>
      <c r="Q340" s="12">
        <v>43466</v>
      </c>
      <c r="R340" s="11">
        <v>43466</v>
      </c>
      <c r="S340" s="12">
        <v>43466</v>
      </c>
      <c r="T340" s="11">
        <v>43466</v>
      </c>
      <c r="U340" s="12">
        <v>43466</v>
      </c>
      <c r="V340" s="11">
        <v>43466</v>
      </c>
      <c r="W340" s="12">
        <v>43466</v>
      </c>
      <c r="X340" s="11">
        <v>43466</v>
      </c>
      <c r="Y340" s="12">
        <v>43466</v>
      </c>
      <c r="Z340" s="11">
        <v>43466</v>
      </c>
      <c r="AA340" s="12">
        <v>43466</v>
      </c>
      <c r="AB340" s="11">
        <v>43466</v>
      </c>
      <c r="AC340" s="12">
        <v>43466</v>
      </c>
      <c r="AD340" s="34"/>
      <c r="AE340" s="33">
        <f t="shared" si="54"/>
        <v>43466</v>
      </c>
      <c r="AF340" s="33">
        <f t="shared" si="55"/>
        <v>43466</v>
      </c>
      <c r="AG340" s="33">
        <f t="shared" si="56"/>
        <v>43466</v>
      </c>
      <c r="AH340">
        <v>423</v>
      </c>
      <c r="AK340" s="36" t="str">
        <f t="shared" si="57"/>
        <v/>
      </c>
      <c r="AL340">
        <f t="shared" si="58"/>
        <v>18</v>
      </c>
      <c r="AM340">
        <v>18</v>
      </c>
      <c r="AN340">
        <f t="shared" si="59"/>
        <v>0</v>
      </c>
      <c r="AO340" t="str">
        <f t="shared" si="53"/>
        <v>1.1.---1.1.---1.1.</v>
      </c>
      <c r="AP340" t="str">
        <f t="shared" si="60"/>
        <v>Hömötiainen</v>
      </c>
      <c r="AQ340" t="str">
        <f t="shared" si="61"/>
        <v>(1.1.---1.1.---1.1., 18/21)</v>
      </c>
    </row>
    <row r="341" spans="1:43" x14ac:dyDescent="0.2">
      <c r="A341" s="1"/>
      <c r="B341" s="9">
        <f t="shared" si="52"/>
        <v>335</v>
      </c>
      <c r="C341" s="10"/>
      <c r="D341" s="9" t="s">
        <v>332</v>
      </c>
      <c r="E341" s="10"/>
      <c r="F341" s="11">
        <v>43724</v>
      </c>
      <c r="G341" s="12">
        <v>43466</v>
      </c>
      <c r="H341" s="11">
        <v>43471</v>
      </c>
      <c r="I341" s="12">
        <v>43473</v>
      </c>
      <c r="J341" s="11">
        <v>43466</v>
      </c>
      <c r="K341" s="12">
        <v>43466</v>
      </c>
      <c r="L341" s="11">
        <v>43466</v>
      </c>
      <c r="M341" s="12">
        <v>43466</v>
      </c>
      <c r="N341" s="11">
        <v>43470</v>
      </c>
      <c r="O341" s="12">
        <v>43476</v>
      </c>
      <c r="P341" s="11">
        <v>43467</v>
      </c>
      <c r="Q341" s="12">
        <v>43466</v>
      </c>
      <c r="R341" s="11">
        <v>43466</v>
      </c>
      <c r="S341" s="12">
        <v>43466</v>
      </c>
      <c r="T341" s="11">
        <v>43466</v>
      </c>
      <c r="U341" s="12">
        <v>43466</v>
      </c>
      <c r="V341" s="11">
        <v>43469</v>
      </c>
      <c r="W341" s="12">
        <v>43468</v>
      </c>
      <c r="X341" s="11">
        <v>43466</v>
      </c>
      <c r="Y341" s="12">
        <v>43468</v>
      </c>
      <c r="Z341" s="11">
        <v>43466</v>
      </c>
      <c r="AA341" s="12">
        <v>43466</v>
      </c>
      <c r="AB341" s="11">
        <v>43466</v>
      </c>
      <c r="AC341" s="12">
        <v>43466</v>
      </c>
      <c r="AD341" s="34"/>
      <c r="AE341" s="33">
        <f t="shared" si="54"/>
        <v>43466</v>
      </c>
      <c r="AF341" s="33">
        <f t="shared" si="55"/>
        <v>43466</v>
      </c>
      <c r="AG341" s="33">
        <f t="shared" si="56"/>
        <v>43724</v>
      </c>
      <c r="AH341">
        <v>424</v>
      </c>
      <c r="AK341" s="36" t="str">
        <f t="shared" si="57"/>
        <v/>
      </c>
      <c r="AL341">
        <f t="shared" si="58"/>
        <v>20</v>
      </c>
      <c r="AM341">
        <v>20</v>
      </c>
      <c r="AN341">
        <f t="shared" si="59"/>
        <v>258</v>
      </c>
      <c r="AO341" t="str">
        <f t="shared" si="53"/>
        <v>1.1.---1.1.---16.9.</v>
      </c>
      <c r="AP341" t="str">
        <f t="shared" si="60"/>
        <v>Lapintiainen</v>
      </c>
      <c r="AQ341" t="str">
        <f t="shared" si="61"/>
        <v>(1.1.---1.1.---16.9., 20/21)</v>
      </c>
    </row>
    <row r="342" spans="1:43" x14ac:dyDescent="0.2">
      <c r="A342" s="1"/>
      <c r="B342" s="9">
        <f t="shared" si="52"/>
        <v>336</v>
      </c>
      <c r="C342" s="10"/>
      <c r="D342" s="9" t="s">
        <v>333</v>
      </c>
      <c r="E342" s="10"/>
      <c r="F342" s="11">
        <v>43469</v>
      </c>
      <c r="G342" s="12">
        <v>43720</v>
      </c>
      <c r="H342" s="11">
        <v>43470</v>
      </c>
      <c r="I342" s="12">
        <v>43466</v>
      </c>
      <c r="J342" s="11">
        <v>43466</v>
      </c>
      <c r="K342" s="12">
        <v>43466</v>
      </c>
      <c r="L342" s="11">
        <v>43744</v>
      </c>
      <c r="M342" s="12">
        <v>43466</v>
      </c>
      <c r="N342" s="11">
        <v>43469</v>
      </c>
      <c r="O342" s="12">
        <v>43466</v>
      </c>
      <c r="P342" s="11">
        <v>43466</v>
      </c>
      <c r="Q342" s="12">
        <v>43494</v>
      </c>
      <c r="R342" s="11">
        <v>43753</v>
      </c>
      <c r="S342" s="12">
        <v>43745</v>
      </c>
      <c r="T342" s="11">
        <v>43466</v>
      </c>
      <c r="U342" s="12">
        <v>43466</v>
      </c>
      <c r="V342" s="11">
        <v>43466</v>
      </c>
      <c r="W342" s="12">
        <v>43466</v>
      </c>
      <c r="X342" s="11">
        <v>43493</v>
      </c>
      <c r="Y342" s="12">
        <v>43483</v>
      </c>
      <c r="Z342" s="11">
        <v>43466</v>
      </c>
      <c r="AA342" s="12">
        <v>43466</v>
      </c>
      <c r="AB342" s="11">
        <v>43466</v>
      </c>
      <c r="AC342" s="12">
        <v>43594</v>
      </c>
      <c r="AD342" s="34"/>
      <c r="AE342" s="33">
        <f t="shared" si="54"/>
        <v>43466</v>
      </c>
      <c r="AF342" s="33">
        <f t="shared" si="55"/>
        <v>43466</v>
      </c>
      <c r="AG342" s="33">
        <f t="shared" si="56"/>
        <v>43753</v>
      </c>
      <c r="AH342">
        <v>425</v>
      </c>
      <c r="AK342" s="36" t="str">
        <f t="shared" si="57"/>
        <v/>
      </c>
      <c r="AL342">
        <f t="shared" si="58"/>
        <v>17</v>
      </c>
      <c r="AM342">
        <v>17</v>
      </c>
      <c r="AN342">
        <f t="shared" si="59"/>
        <v>287</v>
      </c>
      <c r="AO342" t="str">
        <f t="shared" si="53"/>
        <v>1.1.---1.1.---15.10.</v>
      </c>
      <c r="AP342" t="str">
        <f t="shared" si="60"/>
        <v>Pähkinänakkeli</v>
      </c>
      <c r="AQ342" t="str">
        <f t="shared" si="61"/>
        <v>(1.1.---1.1.---15.10., 17/21)</v>
      </c>
    </row>
    <row r="343" spans="1:43" x14ac:dyDescent="0.2">
      <c r="A343" s="1"/>
      <c r="B343" s="9">
        <f t="shared" si="52"/>
        <v>337</v>
      </c>
      <c r="C343" s="10"/>
      <c r="D343" s="9" t="s">
        <v>334</v>
      </c>
      <c r="E343" s="10"/>
      <c r="F343" s="11"/>
      <c r="G343" s="12"/>
      <c r="H343" s="11"/>
      <c r="I343" s="12">
        <v>43466</v>
      </c>
      <c r="J343" s="11">
        <v>43466</v>
      </c>
      <c r="K343" s="12">
        <v>43466</v>
      </c>
      <c r="L343" s="11">
        <v>43466</v>
      </c>
      <c r="M343" s="12">
        <v>43466</v>
      </c>
      <c r="N343" s="11">
        <v>43466</v>
      </c>
      <c r="O343" s="12">
        <v>43466</v>
      </c>
      <c r="P343" s="11">
        <v>43466</v>
      </c>
      <c r="Q343" s="12">
        <v>43466</v>
      </c>
      <c r="R343" s="11">
        <v>43466</v>
      </c>
      <c r="S343" s="12">
        <v>43466</v>
      </c>
      <c r="T343" s="11">
        <v>43466</v>
      </c>
      <c r="U343" s="12">
        <v>43466</v>
      </c>
      <c r="V343" s="11">
        <v>43466</v>
      </c>
      <c r="W343" s="12">
        <v>43466</v>
      </c>
      <c r="X343" s="11">
        <v>43466</v>
      </c>
      <c r="Y343" s="12">
        <v>43466</v>
      </c>
      <c r="Z343" s="11">
        <v>43466</v>
      </c>
      <c r="AA343" s="12">
        <v>43466</v>
      </c>
      <c r="AB343" s="11">
        <v>43466</v>
      </c>
      <c r="AC343" s="12">
        <v>43466</v>
      </c>
      <c r="AD343" s="34"/>
      <c r="AE343" s="33">
        <f t="shared" si="54"/>
        <v>43466</v>
      </c>
      <c r="AF343" s="33">
        <f t="shared" si="55"/>
        <v>43466</v>
      </c>
      <c r="AG343" s="33">
        <f t="shared" si="56"/>
        <v>43466</v>
      </c>
      <c r="AH343">
        <v>426</v>
      </c>
      <c r="AK343" s="36" t="str">
        <f t="shared" si="57"/>
        <v/>
      </c>
      <c r="AL343">
        <f t="shared" si="58"/>
        <v>18</v>
      </c>
      <c r="AM343">
        <v>18</v>
      </c>
      <c r="AN343">
        <f t="shared" si="59"/>
        <v>0</v>
      </c>
      <c r="AO343" t="str">
        <f t="shared" si="53"/>
        <v>1.1.---1.1.---1.1.</v>
      </c>
      <c r="AP343" t="str">
        <f t="shared" si="60"/>
        <v>Puukiipijä</v>
      </c>
      <c r="AQ343" t="str">
        <f t="shared" si="61"/>
        <v>(1.1.---1.1.---1.1., 18/21)</v>
      </c>
    </row>
    <row r="344" spans="1:43" x14ac:dyDescent="0.2">
      <c r="A344" s="1"/>
      <c r="B344" s="9">
        <f t="shared" si="52"/>
        <v>338</v>
      </c>
      <c r="C344" s="10"/>
      <c r="D344" s="13" t="s">
        <v>335</v>
      </c>
      <c r="E344" s="14"/>
      <c r="F344" s="11"/>
      <c r="G344" s="12"/>
      <c r="H344" s="11"/>
      <c r="I344" s="12">
        <v>43618</v>
      </c>
      <c r="J344" s="11"/>
      <c r="K344" s="12"/>
      <c r="L344" s="11"/>
      <c r="M344" s="12"/>
      <c r="N344" s="11"/>
      <c r="O344" s="12">
        <v>43597</v>
      </c>
      <c r="P344" s="11"/>
      <c r="Q344" s="12">
        <v>43622</v>
      </c>
      <c r="R344" s="11"/>
      <c r="S344" s="12">
        <v>43716</v>
      </c>
      <c r="T344" s="11"/>
      <c r="U344" s="12"/>
      <c r="V344" s="11"/>
      <c r="W344" s="12"/>
      <c r="X344" s="11"/>
      <c r="Y344" s="12"/>
      <c r="Z344" s="11"/>
      <c r="AA344" s="12"/>
      <c r="AB344" s="11"/>
      <c r="AC344" s="12"/>
      <c r="AD344" s="34"/>
      <c r="AE344" s="33">
        <f t="shared" si="54"/>
        <v>43597</v>
      </c>
      <c r="AF344" s="33">
        <f t="shared" si="55"/>
        <v>43620</v>
      </c>
      <c r="AG344" s="33">
        <f t="shared" si="56"/>
        <v>43716</v>
      </c>
      <c r="AH344">
        <v>427</v>
      </c>
      <c r="AK344" s="36" t="str">
        <f t="shared" si="57"/>
        <v/>
      </c>
      <c r="AL344" t="str">
        <f t="shared" si="58"/>
        <v/>
      </c>
      <c r="AM344" t="s">
        <v>393</v>
      </c>
      <c r="AN344">
        <f t="shared" si="59"/>
        <v>119</v>
      </c>
      <c r="AO344" t="str">
        <f t="shared" si="53"/>
        <v>12.5.---4.6.---8.9.</v>
      </c>
      <c r="AP344" t="str">
        <f t="shared" si="60"/>
        <v>Pussitiainen</v>
      </c>
      <c r="AQ344" t="str">
        <f t="shared" si="61"/>
        <v>(12.5.---4.6.---8.9.)</v>
      </c>
    </row>
    <row r="345" spans="1:43" x14ac:dyDescent="0.2">
      <c r="A345" s="1"/>
      <c r="B345" s="9">
        <f t="shared" si="52"/>
        <v>339</v>
      </c>
      <c r="C345" s="10"/>
      <c r="D345" s="9" t="s">
        <v>336</v>
      </c>
      <c r="E345" s="10"/>
      <c r="F345" s="11"/>
      <c r="G345" s="12"/>
      <c r="H345" s="11">
        <v>43620</v>
      </c>
      <c r="I345" s="12">
        <v>43624</v>
      </c>
      <c r="J345" s="11">
        <v>43611</v>
      </c>
      <c r="K345" s="12">
        <v>43625</v>
      </c>
      <c r="L345" s="11"/>
      <c r="M345" s="12">
        <v>43622</v>
      </c>
      <c r="N345" s="11">
        <v>43630</v>
      </c>
      <c r="O345" s="12">
        <v>43623</v>
      </c>
      <c r="P345" s="11">
        <v>43634</v>
      </c>
      <c r="Q345" s="12">
        <v>43641</v>
      </c>
      <c r="R345" s="11"/>
      <c r="S345" s="12"/>
      <c r="T345" s="11">
        <v>43652</v>
      </c>
      <c r="U345" s="12">
        <v>43627</v>
      </c>
      <c r="V345" s="11">
        <v>43621</v>
      </c>
      <c r="W345" s="12">
        <v>43620</v>
      </c>
      <c r="X345" s="11"/>
      <c r="Y345" s="12">
        <v>43619</v>
      </c>
      <c r="Z345" s="11">
        <v>43630</v>
      </c>
      <c r="AA345" s="12">
        <v>43629</v>
      </c>
      <c r="AB345" s="11">
        <v>43623</v>
      </c>
      <c r="AC345" s="12">
        <v>43613</v>
      </c>
      <c r="AD345" s="34"/>
      <c r="AE345" s="33">
        <f t="shared" si="54"/>
        <v>43611</v>
      </c>
      <c r="AF345" s="33">
        <f t="shared" si="55"/>
        <v>43624</v>
      </c>
      <c r="AG345" s="33">
        <f t="shared" si="56"/>
        <v>43652</v>
      </c>
      <c r="AH345">
        <v>428</v>
      </c>
      <c r="AK345" s="36" t="str">
        <f t="shared" si="57"/>
        <v/>
      </c>
      <c r="AL345" t="str">
        <f t="shared" si="58"/>
        <v/>
      </c>
      <c r="AM345" t="s">
        <v>393</v>
      </c>
      <c r="AN345">
        <f t="shared" si="59"/>
        <v>41</v>
      </c>
      <c r="AO345" t="str">
        <f t="shared" si="53"/>
        <v>26.5.---8.6.---6.7.</v>
      </c>
      <c r="AP345" t="str">
        <f t="shared" si="60"/>
        <v>Kuhankeittäjä</v>
      </c>
      <c r="AQ345" t="str">
        <f t="shared" si="61"/>
        <v>(26.5.---8.6.---6.7.)</v>
      </c>
    </row>
    <row r="346" spans="1:43" x14ac:dyDescent="0.2">
      <c r="A346" s="1"/>
      <c r="B346" s="9">
        <f t="shared" si="52"/>
        <v>340</v>
      </c>
      <c r="C346" s="10"/>
      <c r="D346" s="15" t="s">
        <v>389</v>
      </c>
      <c r="E346" s="16"/>
      <c r="F346" s="11"/>
      <c r="G346" s="12"/>
      <c r="H346" s="11"/>
      <c r="I346" s="12"/>
      <c r="J346" s="11"/>
      <c r="K346" s="12"/>
      <c r="L346" s="11"/>
      <c r="M346" s="12"/>
      <c r="N346" s="11"/>
      <c r="O346" s="12"/>
      <c r="P346" s="11"/>
      <c r="Q346" s="12"/>
      <c r="R346" s="11"/>
      <c r="S346" s="12"/>
      <c r="T346" s="11"/>
      <c r="U346" s="12"/>
      <c r="V346" s="11"/>
      <c r="W346" s="12"/>
      <c r="X346" s="11"/>
      <c r="Y346" s="12"/>
      <c r="Z346" s="11"/>
      <c r="AA346" s="12">
        <v>43717</v>
      </c>
      <c r="AB346" s="11"/>
      <c r="AC346" s="12"/>
      <c r="AD346" s="34"/>
      <c r="AE346" s="33" t="str">
        <f t="shared" si="54"/>
        <v/>
      </c>
      <c r="AF346" s="33" t="str">
        <f t="shared" si="55"/>
        <v/>
      </c>
      <c r="AG346" s="33" t="str">
        <f t="shared" si="56"/>
        <v/>
      </c>
      <c r="AH346">
        <v>429</v>
      </c>
      <c r="AK346" s="36" t="str">
        <f t="shared" si="57"/>
        <v/>
      </c>
      <c r="AL346" t="str">
        <f t="shared" si="58"/>
        <v/>
      </c>
      <c r="AM346" t="s">
        <v>393</v>
      </c>
      <c r="AN346" t="e">
        <f t="shared" si="59"/>
        <v>#VALUE!</v>
      </c>
      <c r="AO346" t="str">
        <f t="shared" si="53"/>
        <v>------</v>
      </c>
      <c r="AP346" t="str">
        <f t="shared" si="60"/>
        <v>Siperianlepinkäinen</v>
      </c>
      <c r="AQ346" t="str">
        <f t="shared" si="61"/>
        <v>(------)</v>
      </c>
    </row>
    <row r="347" spans="1:43" x14ac:dyDescent="0.2">
      <c r="A347" s="1"/>
      <c r="B347" s="9">
        <f t="shared" si="52"/>
        <v>341</v>
      </c>
      <c r="C347" s="10"/>
      <c r="D347" s="15" t="s">
        <v>337</v>
      </c>
      <c r="E347" s="16"/>
      <c r="F347" s="11"/>
      <c r="G347" s="12"/>
      <c r="H347" s="11"/>
      <c r="I347" s="12"/>
      <c r="J347" s="11"/>
      <c r="K347" s="12">
        <v>43609</v>
      </c>
      <c r="L347" s="11"/>
      <c r="M347" s="12"/>
      <c r="N347" s="11"/>
      <c r="O347" s="12"/>
      <c r="P347" s="11"/>
      <c r="Q347" s="12">
        <v>43790</v>
      </c>
      <c r="R347" s="11"/>
      <c r="S347" s="12"/>
      <c r="T347" s="11"/>
      <c r="U347" s="12"/>
      <c r="V347" s="11"/>
      <c r="W347" s="12"/>
      <c r="X347" s="11"/>
      <c r="Y347" s="12"/>
      <c r="Z347" s="11">
        <v>43779</v>
      </c>
      <c r="AA347" s="12"/>
      <c r="AB347" s="11"/>
      <c r="AC347" s="12"/>
      <c r="AD347" s="34"/>
      <c r="AE347" s="33">
        <f t="shared" si="54"/>
        <v>43609</v>
      </c>
      <c r="AF347" s="33">
        <f t="shared" si="55"/>
        <v>43779</v>
      </c>
      <c r="AG347" s="33">
        <f t="shared" si="56"/>
        <v>43790</v>
      </c>
      <c r="AH347">
        <v>430</v>
      </c>
      <c r="AK347" s="36" t="str">
        <f t="shared" si="57"/>
        <v/>
      </c>
      <c r="AL347" t="str">
        <f t="shared" si="58"/>
        <v/>
      </c>
      <c r="AM347" t="s">
        <v>393</v>
      </c>
      <c r="AN347">
        <f t="shared" si="59"/>
        <v>181</v>
      </c>
      <c r="AO347" t="str">
        <f t="shared" si="53"/>
        <v>24.5.---10.11.---21.11.</v>
      </c>
      <c r="AP347" t="str">
        <f t="shared" si="60"/>
        <v>Punapyrstölepinkäinen</v>
      </c>
      <c r="AQ347" t="str">
        <f t="shared" si="61"/>
        <v>(24.5.---10.11.---21.11.)</v>
      </c>
    </row>
    <row r="348" spans="1:43" x14ac:dyDescent="0.2">
      <c r="A348" s="1"/>
      <c r="B348" s="9">
        <f t="shared" si="52"/>
        <v>342</v>
      </c>
      <c r="C348" s="10"/>
      <c r="D348" s="9" t="s">
        <v>338</v>
      </c>
      <c r="E348" s="10"/>
      <c r="F348" s="11">
        <v>43606</v>
      </c>
      <c r="G348" s="12">
        <v>43602</v>
      </c>
      <c r="H348" s="11">
        <v>43600</v>
      </c>
      <c r="I348" s="12">
        <v>43588</v>
      </c>
      <c r="J348" s="11">
        <v>43593</v>
      </c>
      <c r="K348" s="12">
        <v>43606</v>
      </c>
      <c r="L348" s="11">
        <v>43609</v>
      </c>
      <c r="M348" s="12">
        <v>43602</v>
      </c>
      <c r="N348" s="11">
        <v>43609</v>
      </c>
      <c r="O348" s="12">
        <v>43605</v>
      </c>
      <c r="P348" s="11">
        <v>43594</v>
      </c>
      <c r="Q348" s="12">
        <v>43600</v>
      </c>
      <c r="R348" s="11">
        <v>43600</v>
      </c>
      <c r="S348" s="12">
        <v>43593</v>
      </c>
      <c r="T348" s="11">
        <v>43600</v>
      </c>
      <c r="U348" s="12">
        <v>43606</v>
      </c>
      <c r="V348" s="11">
        <v>43592</v>
      </c>
      <c r="W348" s="12">
        <v>43607</v>
      </c>
      <c r="X348" s="11">
        <v>43596</v>
      </c>
      <c r="Y348" s="12">
        <v>43603</v>
      </c>
      <c r="Z348" s="11">
        <v>43602</v>
      </c>
      <c r="AA348" s="12">
        <v>43603</v>
      </c>
      <c r="AB348" s="11">
        <v>43605</v>
      </c>
      <c r="AC348" s="12">
        <v>43602</v>
      </c>
      <c r="AD348" s="34"/>
      <c r="AE348" s="33">
        <f t="shared" si="54"/>
        <v>43588</v>
      </c>
      <c r="AF348" s="33">
        <f t="shared" si="55"/>
        <v>43602</v>
      </c>
      <c r="AG348" s="33">
        <f t="shared" si="56"/>
        <v>43609</v>
      </c>
      <c r="AH348">
        <v>431</v>
      </c>
      <c r="AK348" s="36" t="str">
        <f t="shared" si="57"/>
        <v/>
      </c>
      <c r="AL348" t="str">
        <f t="shared" si="58"/>
        <v/>
      </c>
      <c r="AM348" t="s">
        <v>393</v>
      </c>
      <c r="AN348">
        <f t="shared" si="59"/>
        <v>21</v>
      </c>
      <c r="AO348" t="str">
        <f t="shared" si="53"/>
        <v>3.5.---17.5.---24.5.</v>
      </c>
      <c r="AP348" t="str">
        <f t="shared" si="60"/>
        <v>Pikkulepinkäinen</v>
      </c>
      <c r="AQ348" t="str">
        <f t="shared" si="61"/>
        <v>(3.5.---17.5.---24.5.)</v>
      </c>
    </row>
    <row r="349" spans="1:43" x14ac:dyDescent="0.2">
      <c r="A349" s="1"/>
      <c r="B349" s="9">
        <f t="shared" si="52"/>
        <v>343</v>
      </c>
      <c r="C349" s="10"/>
      <c r="D349" s="13" t="s">
        <v>339</v>
      </c>
      <c r="E349" s="14"/>
      <c r="F349" s="11"/>
      <c r="G349" s="12"/>
      <c r="H349" s="11"/>
      <c r="I349" s="12"/>
      <c r="J349" s="11"/>
      <c r="K349" s="12">
        <v>43608</v>
      </c>
      <c r="L349" s="11"/>
      <c r="M349" s="12">
        <v>43611</v>
      </c>
      <c r="N349" s="11"/>
      <c r="O349" s="12">
        <v>43658</v>
      </c>
      <c r="P349" s="11"/>
      <c r="Q349" s="12">
        <v>43746</v>
      </c>
      <c r="R349" s="11"/>
      <c r="S349" s="12">
        <v>43610</v>
      </c>
      <c r="T349" s="11">
        <v>43598</v>
      </c>
      <c r="U349" s="12"/>
      <c r="V349" s="11"/>
      <c r="W349" s="12">
        <v>43611</v>
      </c>
      <c r="X349" s="11"/>
      <c r="Y349" s="12"/>
      <c r="Z349" s="11">
        <v>43667</v>
      </c>
      <c r="AA349" s="12">
        <v>43607</v>
      </c>
      <c r="AB349" s="11">
        <v>43669</v>
      </c>
      <c r="AC349" s="12">
        <v>43642</v>
      </c>
      <c r="AD349" s="34"/>
      <c r="AE349" s="33">
        <f t="shared" si="54"/>
        <v>43598</v>
      </c>
      <c r="AF349" s="33">
        <f t="shared" si="55"/>
        <v>43611</v>
      </c>
      <c r="AG349" s="33">
        <f t="shared" si="56"/>
        <v>43746</v>
      </c>
      <c r="AH349">
        <v>432</v>
      </c>
      <c r="AK349" s="36" t="str">
        <f t="shared" si="57"/>
        <v/>
      </c>
      <c r="AL349" t="str">
        <f t="shared" si="58"/>
        <v/>
      </c>
      <c r="AM349" t="s">
        <v>393</v>
      </c>
      <c r="AN349">
        <f t="shared" si="59"/>
        <v>148</v>
      </c>
      <c r="AO349" t="str">
        <f t="shared" si="53"/>
        <v>13.5.---26.5.---8.10.</v>
      </c>
      <c r="AP349" t="str">
        <f t="shared" si="60"/>
        <v>Mustaotsalepinkäinen</v>
      </c>
      <c r="AQ349" t="str">
        <f t="shared" si="61"/>
        <v>(13.5.---26.5.---8.10.)</v>
      </c>
    </row>
    <row r="350" spans="1:43" x14ac:dyDescent="0.2">
      <c r="A350" s="1"/>
      <c r="B350" s="9">
        <f t="shared" si="52"/>
        <v>344</v>
      </c>
      <c r="C350" s="10"/>
      <c r="D350" s="9" t="s">
        <v>340</v>
      </c>
      <c r="E350" s="10"/>
      <c r="F350" s="30"/>
      <c r="G350" s="12">
        <f>IF(AG1,DATE(2019,1,1),DATE(2019,4,12))</f>
        <v>43567</v>
      </c>
      <c r="H350" s="11">
        <f>IF(AG1,DATE(2019,1,1),DATE(2019,3,28))</f>
        <v>43552</v>
      </c>
      <c r="I350" s="12">
        <f>IF(AG1,DATE(2019,1,17),DATE(2019,3,13))</f>
        <v>43537</v>
      </c>
      <c r="J350" s="11">
        <f>IF(AG1,DATE(2019,1,1),DATE(2019,3,13))</f>
        <v>43537</v>
      </c>
      <c r="K350" s="12">
        <f>IF(AG1,DATE(2019,1,1),DATE(2019,3,24))</f>
        <v>43548</v>
      </c>
      <c r="L350" s="11">
        <f>IF(AG1,DATE(2019,1,1),DATE(2019,3,15))</f>
        <v>43539</v>
      </c>
      <c r="M350" s="12">
        <f>IF(AG1,DATE(2019,1,1),DATE(2019,3,5))</f>
        <v>43529</v>
      </c>
      <c r="N350" s="11">
        <f>IF(AG1,DATE(2019,1,1),DATE(2019,3,12))</f>
        <v>43536</v>
      </c>
      <c r="O350" s="12">
        <f>IF(AG1,DATE(2019,1,1),DATE(2019,3,6))</f>
        <v>43530</v>
      </c>
      <c r="P350" s="11">
        <f>IF(AG1,DATE(2019,1,1),DATE(2019,3,1))</f>
        <v>43525</v>
      </c>
      <c r="Q350" s="12">
        <f>IF(AG1,DATE(2019,1,1),DATE(2019,3,19))</f>
        <v>43543</v>
      </c>
      <c r="R350" s="11">
        <f>IF(AG1,DATE(2019,1,1),DATE(2019,3,23))</f>
        <v>43547</v>
      </c>
      <c r="S350" s="12">
        <f>IF(AG1,DATE(2019,1,1),DATE(2019,3,30))</f>
        <v>43554</v>
      </c>
      <c r="T350" s="11">
        <f>IF(AG1,DATE(2019,1,1),DATE(2019,3,5))</f>
        <v>43529</v>
      </c>
      <c r="U350" s="12">
        <f>IF(AG1,DATE(2019,1,1),DATE(2019,3,5))</f>
        <v>43529</v>
      </c>
      <c r="V350" s="11">
        <f>IF(AG1,DATE(2019,1,1),DATE(2019,3,6))</f>
        <v>43530</v>
      </c>
      <c r="W350" s="12">
        <f>IF(AG1,DATE(2019,1,1),DATE(2019,3,1))</f>
        <v>43525</v>
      </c>
      <c r="X350" s="11">
        <f>IF(AG1,DATE(2019,1,1),DATE(2019,4,7))</f>
        <v>43562</v>
      </c>
      <c r="Y350" s="12">
        <f>IF(AG1,DATE(2019,1,1),DATE(2019,3,7))</f>
        <v>43531</v>
      </c>
      <c r="Z350" s="11">
        <v>43469</v>
      </c>
      <c r="AA350" s="12">
        <v>43466</v>
      </c>
      <c r="AB350" s="11">
        <f>IF(AF1,DATE(2019,1,1),DATE(2019,3,6))</f>
        <v>43530</v>
      </c>
      <c r="AC350" s="12">
        <v>43467</v>
      </c>
      <c r="AD350" s="34"/>
      <c r="AE350" s="33">
        <f t="shared" si="54"/>
        <v>43469</v>
      </c>
      <c r="AF350" s="33">
        <f t="shared" si="55"/>
        <v>43536.5</v>
      </c>
      <c r="AG350" s="33">
        <f t="shared" si="56"/>
        <v>43567</v>
      </c>
      <c r="AH350">
        <v>433</v>
      </c>
      <c r="AK350" s="36" t="str">
        <f t="shared" si="57"/>
        <v/>
      </c>
      <c r="AL350">
        <f t="shared" si="58"/>
        <v>1</v>
      </c>
      <c r="AM350">
        <v>20</v>
      </c>
      <c r="AN350">
        <f t="shared" si="59"/>
        <v>98</v>
      </c>
      <c r="AO350" t="str">
        <f t="shared" si="53"/>
        <v>4.1.---12.3.---12.4.</v>
      </c>
      <c r="AP350" t="str">
        <f t="shared" si="60"/>
        <v>Isolepinkäinen</v>
      </c>
      <c r="AQ350" t="str">
        <f t="shared" si="61"/>
        <v>(4.1.---12.3.---12.4., 20/21)</v>
      </c>
    </row>
    <row r="351" spans="1:43" x14ac:dyDescent="0.2">
      <c r="A351" s="1"/>
      <c r="B351" s="9">
        <f t="shared" si="52"/>
        <v>345</v>
      </c>
      <c r="C351" s="10"/>
      <c r="D351" s="9" t="s">
        <v>341</v>
      </c>
      <c r="E351" s="10"/>
      <c r="F351" s="11"/>
      <c r="G351" s="12"/>
      <c r="H351" s="11"/>
      <c r="I351" s="12">
        <v>43466</v>
      </c>
      <c r="J351" s="11">
        <v>43466</v>
      </c>
      <c r="K351" s="12">
        <v>43466</v>
      </c>
      <c r="L351" s="11">
        <v>43466</v>
      </c>
      <c r="M351" s="12">
        <v>43466</v>
      </c>
      <c r="N351" s="11">
        <v>43466</v>
      </c>
      <c r="O351" s="12">
        <v>43466</v>
      </c>
      <c r="P351" s="11">
        <v>43466</v>
      </c>
      <c r="Q351" s="12">
        <v>43466</v>
      </c>
      <c r="R351" s="11">
        <v>43466</v>
      </c>
      <c r="S351" s="12">
        <v>43466</v>
      </c>
      <c r="T351" s="11">
        <v>43466</v>
      </c>
      <c r="U351" s="12">
        <v>43466</v>
      </c>
      <c r="V351" s="11">
        <v>43466</v>
      </c>
      <c r="W351" s="12">
        <v>43466</v>
      </c>
      <c r="X351" s="11">
        <v>43466</v>
      </c>
      <c r="Y351" s="12">
        <v>43466</v>
      </c>
      <c r="Z351" s="11">
        <v>43466</v>
      </c>
      <c r="AA351" s="12">
        <v>43466</v>
      </c>
      <c r="AB351" s="11">
        <v>43466</v>
      </c>
      <c r="AC351" s="12">
        <v>43466</v>
      </c>
      <c r="AD351" s="34"/>
      <c r="AE351" s="33">
        <f t="shared" si="54"/>
        <v>43466</v>
      </c>
      <c r="AF351" s="33">
        <f t="shared" si="55"/>
        <v>43466</v>
      </c>
      <c r="AG351" s="33">
        <f t="shared" si="56"/>
        <v>43466</v>
      </c>
      <c r="AH351">
        <v>437</v>
      </c>
      <c r="AK351" s="36" t="str">
        <f t="shared" si="57"/>
        <v/>
      </c>
      <c r="AL351">
        <f t="shared" si="58"/>
        <v>18</v>
      </c>
      <c r="AM351">
        <v>18</v>
      </c>
      <c r="AN351">
        <f t="shared" si="59"/>
        <v>0</v>
      </c>
      <c r="AO351" t="str">
        <f t="shared" si="53"/>
        <v>1.1.---1.1.---1.1.</v>
      </c>
      <c r="AP351" t="str">
        <f t="shared" si="60"/>
        <v>Närhi</v>
      </c>
      <c r="AQ351" t="str">
        <f t="shared" si="61"/>
        <v>(1.1.---1.1.---1.1., 18/21)</v>
      </c>
    </row>
    <row r="352" spans="1:43" x14ac:dyDescent="0.2">
      <c r="A352" s="1"/>
      <c r="B352" s="9">
        <f t="shared" si="52"/>
        <v>346</v>
      </c>
      <c r="C352" s="10"/>
      <c r="D352" s="9" t="s">
        <v>342</v>
      </c>
      <c r="E352" s="10"/>
      <c r="F352" s="11">
        <v>43548</v>
      </c>
      <c r="G352" s="12">
        <v>43478</v>
      </c>
      <c r="H352" s="11">
        <v>43532</v>
      </c>
      <c r="I352" s="12">
        <v>43489</v>
      </c>
      <c r="J352" s="11">
        <v>43466</v>
      </c>
      <c r="K352" s="12">
        <v>43466</v>
      </c>
      <c r="L352" s="11">
        <v>43466</v>
      </c>
      <c r="M352" s="12">
        <v>43466</v>
      </c>
      <c r="N352" s="11">
        <v>43466</v>
      </c>
      <c r="O352" s="12">
        <v>43466</v>
      </c>
      <c r="P352" s="11">
        <v>43466</v>
      </c>
      <c r="Q352" s="12">
        <v>43466</v>
      </c>
      <c r="R352" s="11">
        <v>43466</v>
      </c>
      <c r="S352" s="12">
        <v>43466</v>
      </c>
      <c r="T352" s="11">
        <v>43466</v>
      </c>
      <c r="U352" s="12">
        <v>43466</v>
      </c>
      <c r="V352" s="11">
        <v>43466</v>
      </c>
      <c r="W352" s="12">
        <v>43466</v>
      </c>
      <c r="X352" s="11">
        <v>43466</v>
      </c>
      <c r="Y352" s="12">
        <v>43466</v>
      </c>
      <c r="Z352" s="11">
        <v>43466</v>
      </c>
      <c r="AA352" s="12">
        <v>43466</v>
      </c>
      <c r="AB352" s="11">
        <v>43466</v>
      </c>
      <c r="AC352" s="12">
        <v>43466</v>
      </c>
      <c r="AD352" s="34"/>
      <c r="AE352" s="33">
        <f t="shared" si="54"/>
        <v>43466</v>
      </c>
      <c r="AF352" s="33">
        <f t="shared" si="55"/>
        <v>43466</v>
      </c>
      <c r="AG352" s="33">
        <f t="shared" si="56"/>
        <v>43548</v>
      </c>
      <c r="AH352">
        <v>438</v>
      </c>
      <c r="AK352" s="36" t="str">
        <f t="shared" si="57"/>
        <v/>
      </c>
      <c r="AL352">
        <f t="shared" si="58"/>
        <v>19</v>
      </c>
      <c r="AM352">
        <v>19</v>
      </c>
      <c r="AN352">
        <f t="shared" si="59"/>
        <v>82</v>
      </c>
      <c r="AO352" t="str">
        <f t="shared" si="53"/>
        <v>1.1.---1.1.---24.3.</v>
      </c>
      <c r="AP352" t="str">
        <f t="shared" si="60"/>
        <v>Kuukkeli</v>
      </c>
      <c r="AQ352" t="str">
        <f t="shared" si="61"/>
        <v>(1.1.---1.1.---24.3., 19/21)</v>
      </c>
    </row>
    <row r="353" spans="1:43" x14ac:dyDescent="0.2">
      <c r="A353" s="1"/>
      <c r="B353" s="9">
        <f t="shared" si="52"/>
        <v>347</v>
      </c>
      <c r="C353" s="10"/>
      <c r="D353" s="9" t="s">
        <v>343</v>
      </c>
      <c r="E353" s="10"/>
      <c r="F353" s="11"/>
      <c r="G353" s="12"/>
      <c r="H353" s="11"/>
      <c r="I353" s="12">
        <v>43466</v>
      </c>
      <c r="J353" s="11">
        <v>43466</v>
      </c>
      <c r="K353" s="12">
        <v>43466</v>
      </c>
      <c r="L353" s="11">
        <v>43466</v>
      </c>
      <c r="M353" s="12">
        <v>43466</v>
      </c>
      <c r="N353" s="11">
        <v>43466</v>
      </c>
      <c r="O353" s="12">
        <v>43466</v>
      </c>
      <c r="P353" s="11">
        <v>43466</v>
      </c>
      <c r="Q353" s="12">
        <v>43466</v>
      </c>
      <c r="R353" s="11">
        <v>43466</v>
      </c>
      <c r="S353" s="12">
        <v>43466</v>
      </c>
      <c r="T353" s="11">
        <v>43466</v>
      </c>
      <c r="U353" s="12">
        <v>43466</v>
      </c>
      <c r="V353" s="11">
        <v>43466</v>
      </c>
      <c r="W353" s="12">
        <v>43466</v>
      </c>
      <c r="X353" s="11">
        <v>43466</v>
      </c>
      <c r="Y353" s="12">
        <v>43466</v>
      </c>
      <c r="Z353" s="11">
        <v>43466</v>
      </c>
      <c r="AA353" s="12">
        <v>43466</v>
      </c>
      <c r="AB353" s="11">
        <v>43466</v>
      </c>
      <c r="AC353" s="12">
        <v>43466</v>
      </c>
      <c r="AD353" s="34"/>
      <c r="AE353" s="33">
        <f t="shared" si="54"/>
        <v>43466</v>
      </c>
      <c r="AF353" s="33">
        <f t="shared" si="55"/>
        <v>43466</v>
      </c>
      <c r="AG353" s="33">
        <f t="shared" si="56"/>
        <v>43466</v>
      </c>
      <c r="AH353">
        <v>439</v>
      </c>
      <c r="AK353" s="36" t="str">
        <f t="shared" si="57"/>
        <v/>
      </c>
      <c r="AL353">
        <f t="shared" si="58"/>
        <v>18</v>
      </c>
      <c r="AM353">
        <v>18</v>
      </c>
      <c r="AN353">
        <f t="shared" si="59"/>
        <v>0</v>
      </c>
      <c r="AO353" t="str">
        <f t="shared" si="53"/>
        <v>1.1.---1.1.---1.1.</v>
      </c>
      <c r="AP353" t="str">
        <f t="shared" si="60"/>
        <v>Harakka</v>
      </c>
      <c r="AQ353" t="str">
        <f t="shared" si="61"/>
        <v>(1.1.---1.1.---1.1., 18/21)</v>
      </c>
    </row>
    <row r="354" spans="1:43" x14ac:dyDescent="0.2">
      <c r="A354" s="1"/>
      <c r="B354" s="9">
        <f t="shared" si="52"/>
        <v>348</v>
      </c>
      <c r="C354" s="10"/>
      <c r="D354" s="9" t="s">
        <v>344</v>
      </c>
      <c r="E354" s="10"/>
      <c r="F354" s="11">
        <v>43467</v>
      </c>
      <c r="G354" s="12">
        <v>43594</v>
      </c>
      <c r="H354" s="11">
        <v>43470</v>
      </c>
      <c r="I354" s="12">
        <v>43466</v>
      </c>
      <c r="J354" s="11">
        <v>43466</v>
      </c>
      <c r="K354" s="12">
        <v>43466</v>
      </c>
      <c r="L354" s="11">
        <v>43466</v>
      </c>
      <c r="M354" s="12">
        <v>43466</v>
      </c>
      <c r="N354" s="11">
        <v>43466</v>
      </c>
      <c r="O354" s="12">
        <v>43468</v>
      </c>
      <c r="P354" s="11">
        <v>43466</v>
      </c>
      <c r="Q354" s="12">
        <v>43467</v>
      </c>
      <c r="R354" s="11">
        <v>43466</v>
      </c>
      <c r="S354" s="12">
        <v>43466</v>
      </c>
      <c r="T354" s="11">
        <v>43467</v>
      </c>
      <c r="U354" s="12">
        <v>43468</v>
      </c>
      <c r="V354" s="11">
        <v>43467</v>
      </c>
      <c r="W354" s="12">
        <v>43466</v>
      </c>
      <c r="X354" s="11">
        <v>43468</v>
      </c>
      <c r="Y354" s="12">
        <v>43468</v>
      </c>
      <c r="Z354" s="11">
        <v>43470</v>
      </c>
      <c r="AA354" s="12">
        <v>43466</v>
      </c>
      <c r="AB354" s="11">
        <v>43466</v>
      </c>
      <c r="AC354" s="12">
        <v>43466</v>
      </c>
      <c r="AD354" s="34"/>
      <c r="AE354" s="33">
        <f t="shared" si="54"/>
        <v>43466</v>
      </c>
      <c r="AF354" s="33">
        <f t="shared" si="55"/>
        <v>43467</v>
      </c>
      <c r="AG354" s="33">
        <f t="shared" si="56"/>
        <v>43594</v>
      </c>
      <c r="AH354">
        <v>440</v>
      </c>
      <c r="AK354" s="36" t="str">
        <f t="shared" si="57"/>
        <v/>
      </c>
      <c r="AL354">
        <f t="shared" si="58"/>
        <v>20</v>
      </c>
      <c r="AM354">
        <v>20</v>
      </c>
      <c r="AN354">
        <f t="shared" si="59"/>
        <v>128</v>
      </c>
      <c r="AO354" t="str">
        <f t="shared" si="53"/>
        <v>1.1.---2.1.---9.5.</v>
      </c>
      <c r="AP354" t="str">
        <f t="shared" si="60"/>
        <v>Pähkinähakki</v>
      </c>
      <c r="AQ354" t="str">
        <f t="shared" si="61"/>
        <v>(1.1.---2.1.---9.5., 20/21)</v>
      </c>
    </row>
    <row r="355" spans="1:43" x14ac:dyDescent="0.2">
      <c r="A355" s="1"/>
      <c r="B355" s="9">
        <f t="shared" si="52"/>
        <v>349</v>
      </c>
      <c r="C355" s="10"/>
      <c r="D355" s="9" t="s">
        <v>345</v>
      </c>
      <c r="E355" s="10"/>
      <c r="F355" s="11"/>
      <c r="G355" s="12"/>
      <c r="H355" s="11"/>
      <c r="I355" s="12">
        <v>43466</v>
      </c>
      <c r="J355" s="11">
        <v>43466</v>
      </c>
      <c r="K355" s="12">
        <v>43466</v>
      </c>
      <c r="L355" s="11">
        <v>43466</v>
      </c>
      <c r="M355" s="12">
        <v>43466</v>
      </c>
      <c r="N355" s="11">
        <v>43466</v>
      </c>
      <c r="O355" s="12">
        <v>43466</v>
      </c>
      <c r="P355" s="11">
        <v>43466</v>
      </c>
      <c r="Q355" s="12">
        <v>43466</v>
      </c>
      <c r="R355" s="11">
        <v>43466</v>
      </c>
      <c r="S355" s="12">
        <v>43466</v>
      </c>
      <c r="T355" s="11">
        <v>43466</v>
      </c>
      <c r="U355" s="12">
        <v>43466</v>
      </c>
      <c r="V355" s="11">
        <v>43466</v>
      </c>
      <c r="W355" s="12">
        <v>43466</v>
      </c>
      <c r="X355" s="11">
        <v>43466</v>
      </c>
      <c r="Y355" s="12">
        <v>43466</v>
      </c>
      <c r="Z355" s="11">
        <v>43466</v>
      </c>
      <c r="AA355" s="12">
        <v>43466</v>
      </c>
      <c r="AB355" s="11">
        <v>43466</v>
      </c>
      <c r="AC355" s="12">
        <v>43466</v>
      </c>
      <c r="AD355" s="34"/>
      <c r="AE355" s="33">
        <f t="shared" si="54"/>
        <v>43466</v>
      </c>
      <c r="AF355" s="33">
        <f t="shared" si="55"/>
        <v>43466</v>
      </c>
      <c r="AG355" s="33">
        <f t="shared" si="56"/>
        <v>43466</v>
      </c>
      <c r="AH355">
        <v>441</v>
      </c>
      <c r="AK355" s="36" t="str">
        <f t="shared" si="57"/>
        <v/>
      </c>
      <c r="AL355">
        <f t="shared" si="58"/>
        <v>18</v>
      </c>
      <c r="AM355">
        <v>18</v>
      </c>
      <c r="AN355">
        <f t="shared" si="59"/>
        <v>0</v>
      </c>
      <c r="AO355" t="str">
        <f t="shared" si="53"/>
        <v>1.1.---1.1.---1.1.</v>
      </c>
      <c r="AP355" t="str">
        <f t="shared" si="60"/>
        <v>Naakka</v>
      </c>
      <c r="AQ355" t="str">
        <f t="shared" si="61"/>
        <v>(1.1.---1.1.---1.1., 18/21)</v>
      </c>
    </row>
    <row r="356" spans="1:43" x14ac:dyDescent="0.2">
      <c r="A356" s="1"/>
      <c r="B356" s="9">
        <f t="shared" si="52"/>
        <v>350</v>
      </c>
      <c r="C356" s="10"/>
      <c r="D356" s="9" t="s">
        <v>346</v>
      </c>
      <c r="E356" s="10"/>
      <c r="F356" s="11">
        <f>IF(AG1,DATE(2019,1,1),DATE(2019,3,10))</f>
        <v>43534</v>
      </c>
      <c r="G356" s="12">
        <f>IF(AG1,DATE(2019,1,1),DATE(2019,3,8))</f>
        <v>43532</v>
      </c>
      <c r="H356" s="11">
        <f>IF(AG1,DATE(2019,1,1),DATE(2019,2,17))</f>
        <v>43513</v>
      </c>
      <c r="I356" s="12">
        <f>IF(AG1,DATE(2019,1,1),DATE(2019,3,12))</f>
        <v>43536</v>
      </c>
      <c r="J356" s="11">
        <f>IF(AG1,DATE(2019,1,1),DATE(2019,3,10))</f>
        <v>43534</v>
      </c>
      <c r="K356" s="12">
        <f>IF(AG1,DATE(2019,1,1),DATE(2019,3,22))</f>
        <v>43546</v>
      </c>
      <c r="L356" s="11">
        <f>IF(AG1,DATE(2019,1,1),DATE(2019,3,21))</f>
        <v>43545</v>
      </c>
      <c r="M356" s="12">
        <f>IF(AG1,DATE(2019,1,1),DATE(2019,3,10))</f>
        <v>43534</v>
      </c>
      <c r="N356" s="11">
        <f>IF(AG1,DATE(2019,1,1),DATE(2019,3,7))</f>
        <v>43531</v>
      </c>
      <c r="O356" s="12">
        <f>IF(AG1,DATE(2019,1,1),DATE(2019,3,13))</f>
        <v>43537</v>
      </c>
      <c r="P356" s="11">
        <f>IF(AG1,DATE(2019,1,3),DATE(2019,3,12))</f>
        <v>43536</v>
      </c>
      <c r="Q356" s="12">
        <f>IF(AG1,DATE(2019,1,1),DATE(2019,3,4))</f>
        <v>43528</v>
      </c>
      <c r="R356" s="11">
        <f>IF(AG1,DATE(2019,1,1),DATE(2019,3,4))</f>
        <v>43528</v>
      </c>
      <c r="S356" s="12">
        <f>IF(AG1,DATE(2019,1,1),DATE(2019,3,8))</f>
        <v>43532</v>
      </c>
      <c r="T356" s="11">
        <f>IF(AG1,DATE(2019,1,1),DATE(2019,2,25))</f>
        <v>43521</v>
      </c>
      <c r="U356" s="12">
        <f>IF(AG1,DATE(2019,1,1),DATE(2019,2,25))</f>
        <v>43521</v>
      </c>
      <c r="V356" s="11">
        <f>IF(AG1,DATE(2019,1,1),DATE(2019,3,2))</f>
        <v>43526</v>
      </c>
      <c r="W356" s="12">
        <f>IF(AG1,DATE(2019,1,2),DATE(2019,3,12))</f>
        <v>43536</v>
      </c>
      <c r="X356" s="11">
        <f>IF(AG1,DATE(2019,1,1),DATE(2019,3,19))</f>
        <v>43543</v>
      </c>
      <c r="Y356" s="12">
        <f>IF(AG1,DATE(2019,1,1),DATE(2019,3,16))</f>
        <v>43540</v>
      </c>
      <c r="Z356" s="11">
        <f>IF(AG1,DATE(2019,1,2),DATE(2019,3,1))</f>
        <v>43525</v>
      </c>
      <c r="AA356" s="12">
        <v>43467</v>
      </c>
      <c r="AB356" s="11">
        <f>IF(AF1,DATE(2019,1,1),DATE(2019,3,2))</f>
        <v>43526</v>
      </c>
      <c r="AC356" s="12">
        <v>43468</v>
      </c>
      <c r="AD356" s="34"/>
      <c r="AE356" s="33">
        <f t="shared" si="54"/>
        <v>43513</v>
      </c>
      <c r="AF356" s="33">
        <f t="shared" si="55"/>
        <v>43534</v>
      </c>
      <c r="AG356" s="33">
        <f t="shared" si="56"/>
        <v>43546</v>
      </c>
      <c r="AH356">
        <v>443</v>
      </c>
      <c r="AK356" s="36" t="str">
        <f t="shared" si="57"/>
        <v/>
      </c>
      <c r="AL356">
        <f t="shared" si="58"/>
        <v>3</v>
      </c>
      <c r="AM356">
        <v>21</v>
      </c>
      <c r="AN356">
        <f t="shared" si="59"/>
        <v>33</v>
      </c>
      <c r="AO356" t="str">
        <f t="shared" si="53"/>
        <v>17.2.---10.3.---22.3.</v>
      </c>
      <c r="AP356" t="str">
        <f t="shared" si="60"/>
        <v>Mustavaris</v>
      </c>
      <c r="AQ356" t="str">
        <f t="shared" si="61"/>
        <v>(17.2.---10.3.---22.3., 21/21)</v>
      </c>
    </row>
    <row r="357" spans="1:43" x14ac:dyDescent="0.2">
      <c r="A357" s="1"/>
      <c r="B357" s="9">
        <f t="shared" si="52"/>
        <v>351</v>
      </c>
      <c r="C357" s="10"/>
      <c r="D357" s="9" t="s">
        <v>347</v>
      </c>
      <c r="E357" s="10"/>
      <c r="F357" s="11"/>
      <c r="G357" s="12"/>
      <c r="H357" s="11"/>
      <c r="I357" s="12">
        <v>43466</v>
      </c>
      <c r="J357" s="11">
        <v>43466</v>
      </c>
      <c r="K357" s="12">
        <v>43466</v>
      </c>
      <c r="L357" s="11">
        <v>43466</v>
      </c>
      <c r="M357" s="12">
        <v>43466</v>
      </c>
      <c r="N357" s="11">
        <v>43466</v>
      </c>
      <c r="O357" s="12">
        <v>43466</v>
      </c>
      <c r="P357" s="11">
        <v>43466</v>
      </c>
      <c r="Q357" s="12">
        <v>43466</v>
      </c>
      <c r="R357" s="11">
        <v>43466</v>
      </c>
      <c r="S357" s="12">
        <v>43466</v>
      </c>
      <c r="T357" s="11">
        <v>43466</v>
      </c>
      <c r="U357" s="12">
        <v>43466</v>
      </c>
      <c r="V357" s="11">
        <v>43466</v>
      </c>
      <c r="W357" s="12">
        <v>43466</v>
      </c>
      <c r="X357" s="11">
        <v>43466</v>
      </c>
      <c r="Y357" s="12">
        <v>43466</v>
      </c>
      <c r="Z357" s="11">
        <v>43466</v>
      </c>
      <c r="AA357" s="12">
        <v>43466</v>
      </c>
      <c r="AB357" s="11">
        <v>43466</v>
      </c>
      <c r="AC357" s="12">
        <v>43466</v>
      </c>
      <c r="AD357" s="34"/>
      <c r="AE357" s="33">
        <f t="shared" si="54"/>
        <v>43466</v>
      </c>
      <c r="AF357" s="33">
        <f t="shared" si="55"/>
        <v>43466</v>
      </c>
      <c r="AG357" s="33">
        <f t="shared" si="56"/>
        <v>43466</v>
      </c>
      <c r="AH357">
        <v>444</v>
      </c>
      <c r="AK357" s="36" t="str">
        <f t="shared" si="57"/>
        <v/>
      </c>
      <c r="AL357">
        <f t="shared" si="58"/>
        <v>18</v>
      </c>
      <c r="AM357">
        <v>18</v>
      </c>
      <c r="AN357">
        <f t="shared" si="59"/>
        <v>0</v>
      </c>
      <c r="AO357" t="str">
        <f t="shared" si="53"/>
        <v>1.1.---1.1.---1.1.</v>
      </c>
      <c r="AP357" t="str">
        <f t="shared" si="60"/>
        <v>Varis</v>
      </c>
      <c r="AQ357" t="str">
        <f t="shared" si="61"/>
        <v>(1.1.---1.1.---1.1., 18/21)</v>
      </c>
    </row>
    <row r="358" spans="1:43" x14ac:dyDescent="0.2">
      <c r="A358" s="1"/>
      <c r="B358" s="9">
        <f t="shared" si="52"/>
        <v>352</v>
      </c>
      <c r="C358" s="10"/>
      <c r="D358" s="9" t="s">
        <v>348</v>
      </c>
      <c r="E358" s="10"/>
      <c r="F358" s="11"/>
      <c r="G358" s="12"/>
      <c r="H358" s="11"/>
      <c r="I358" s="12">
        <v>43466</v>
      </c>
      <c r="J358" s="11">
        <v>43466</v>
      </c>
      <c r="K358" s="12">
        <v>43466</v>
      </c>
      <c r="L358" s="11">
        <v>43466</v>
      </c>
      <c r="M358" s="12">
        <v>43466</v>
      </c>
      <c r="N358" s="11">
        <v>43466</v>
      </c>
      <c r="O358" s="12">
        <v>43466</v>
      </c>
      <c r="P358" s="11">
        <v>43466</v>
      </c>
      <c r="Q358" s="12">
        <v>43466</v>
      </c>
      <c r="R358" s="11">
        <v>43466</v>
      </c>
      <c r="S358" s="12">
        <v>43466</v>
      </c>
      <c r="T358" s="11">
        <v>43466</v>
      </c>
      <c r="U358" s="12">
        <v>43466</v>
      </c>
      <c r="V358" s="11">
        <v>43466</v>
      </c>
      <c r="W358" s="12">
        <v>43466</v>
      </c>
      <c r="X358" s="11">
        <v>43466</v>
      </c>
      <c r="Y358" s="12">
        <v>43466</v>
      </c>
      <c r="Z358" s="11">
        <v>43466</v>
      </c>
      <c r="AA358" s="12">
        <v>43466</v>
      </c>
      <c r="AB358" s="11">
        <v>43466</v>
      </c>
      <c r="AC358" s="12">
        <v>43466</v>
      </c>
      <c r="AD358" s="34"/>
      <c r="AE358" s="33">
        <f t="shared" si="54"/>
        <v>43466</v>
      </c>
      <c r="AF358" s="33">
        <f t="shared" si="55"/>
        <v>43466</v>
      </c>
      <c r="AG358" s="33">
        <f t="shared" si="56"/>
        <v>43466</v>
      </c>
      <c r="AH358">
        <v>445</v>
      </c>
      <c r="AK358" s="36" t="str">
        <f t="shared" si="57"/>
        <v/>
      </c>
      <c r="AL358">
        <f t="shared" si="58"/>
        <v>18</v>
      </c>
      <c r="AM358">
        <v>18</v>
      </c>
      <c r="AN358">
        <f t="shared" si="59"/>
        <v>0</v>
      </c>
      <c r="AO358" t="str">
        <f t="shared" si="53"/>
        <v>1.1.---1.1.---1.1.</v>
      </c>
      <c r="AP358" t="str">
        <f t="shared" si="60"/>
        <v>Korppi</v>
      </c>
      <c r="AQ358" t="str">
        <f t="shared" si="61"/>
        <v>(1.1.---1.1.---1.1., 18/21)</v>
      </c>
    </row>
    <row r="359" spans="1:43" x14ac:dyDescent="0.2">
      <c r="A359" s="1"/>
      <c r="B359" s="9">
        <f t="shared" si="52"/>
        <v>353</v>
      </c>
      <c r="C359" s="10"/>
      <c r="D359" s="9" t="s">
        <v>349</v>
      </c>
      <c r="E359" s="10"/>
      <c r="F359" s="11">
        <f>IF(AG1,DATE(2019,1,1),DATE(2019,3,22))</f>
        <v>43546</v>
      </c>
      <c r="G359" s="12">
        <f>IF(AG1,DATE(2019,1,1),DATE(2019,3,31))</f>
        <v>43555</v>
      </c>
      <c r="H359" s="11">
        <f>IF(AG1,DATE(2019,1,1),DATE(2019,3,18))</f>
        <v>43542</v>
      </c>
      <c r="I359" s="12">
        <v>43536</v>
      </c>
      <c r="J359" s="11">
        <v>43543</v>
      </c>
      <c r="K359" s="12">
        <f>IF(AG1,DATE(2019,1,1),DATE(2019,3,24))</f>
        <v>43548</v>
      </c>
      <c r="L359" s="11">
        <f>IF(AG1,DATE(2019,1,1),DATE(2019,4,6))</f>
        <v>43561</v>
      </c>
      <c r="M359" s="12">
        <f>IF(AG1,DATE(2019,1,1),DATE(2019,3,12))</f>
        <v>43536</v>
      </c>
      <c r="N359" s="11">
        <f>IF(AG1,DATE(2019,1,1),DATE(2019,3,12))</f>
        <v>43536</v>
      </c>
      <c r="O359" s="12">
        <f>IF(AG1,DATE(2019,1,1),DATE(2019,3,15))</f>
        <v>43539</v>
      </c>
      <c r="P359" s="11">
        <f>IF(AG1,DATE(2019,1,4),DATE(2019,3,30))</f>
        <v>43554</v>
      </c>
      <c r="Q359" s="12">
        <f>IF(AG1,DATE(2019,1,1),DATE(2019,4,1))</f>
        <v>43556</v>
      </c>
      <c r="R359" s="11">
        <f>IF(AG1,DATE(2019,1,4),DATE(2019,3,22))</f>
        <v>43546</v>
      </c>
      <c r="S359" s="12">
        <v>43559</v>
      </c>
      <c r="T359" s="11">
        <f>IF(AG1,DATE(2019,1,2),DATE(2019,3,13))</f>
        <v>43537</v>
      </c>
      <c r="U359" s="12">
        <f>IF(AG1,DATE(2019,1,1),DATE(2019,3,6))</f>
        <v>43530</v>
      </c>
      <c r="V359" s="11">
        <f>IF(AG1,DATE(2019,1,4),DATE(2019,3,26))</f>
        <v>43550</v>
      </c>
      <c r="W359" s="12">
        <v>43540</v>
      </c>
      <c r="X359" s="11">
        <f>IF(AG1,DATE(2019,1,20),DATE(2019,3,13))</f>
        <v>43537</v>
      </c>
      <c r="Y359" s="12">
        <f>IF(AG1,DATE(2019,1,1),DATE(2019,3,24))</f>
        <v>43548</v>
      </c>
      <c r="Z359" s="11">
        <f>IF(AG1,DATE(2019,1,4),DATE(2019,3,10))</f>
        <v>43534</v>
      </c>
      <c r="AA359" s="12">
        <f>IF(AG1,DATE(2019,1,3),DATE(2019,3,22))</f>
        <v>43546</v>
      </c>
      <c r="AB359" s="11">
        <f>IF(AF1,DATE(2019,1,1),DATE(2019,3,12))</f>
        <v>43536</v>
      </c>
      <c r="AC359" s="12">
        <v>43480</v>
      </c>
      <c r="AD359" s="34"/>
      <c r="AE359" s="33">
        <f t="shared" si="54"/>
        <v>43530</v>
      </c>
      <c r="AF359" s="33">
        <f t="shared" si="55"/>
        <v>43543</v>
      </c>
      <c r="AG359" s="33">
        <f t="shared" si="56"/>
        <v>43561</v>
      </c>
      <c r="AH359">
        <v>446</v>
      </c>
      <c r="AK359" s="36" t="str">
        <f t="shared" si="57"/>
        <v/>
      </c>
      <c r="AL359" t="str">
        <f t="shared" si="58"/>
        <v/>
      </c>
      <c r="AM359">
        <v>17</v>
      </c>
      <c r="AN359">
        <f t="shared" si="59"/>
        <v>31</v>
      </c>
      <c r="AO359" t="str">
        <f t="shared" si="53"/>
        <v>6.3.---19.3.---6.4.</v>
      </c>
      <c r="AP359" t="str">
        <f t="shared" si="60"/>
        <v>Kottarainen</v>
      </c>
      <c r="AQ359" t="str">
        <f t="shared" si="61"/>
        <v>(6.3.---19.3.---6.4., 17/21)</v>
      </c>
    </row>
    <row r="360" spans="1:43" x14ac:dyDescent="0.2">
      <c r="A360" s="1"/>
      <c r="B360" s="9">
        <f t="shared" si="52"/>
        <v>354</v>
      </c>
      <c r="C360" s="10"/>
      <c r="D360" s="13" t="s">
        <v>350</v>
      </c>
      <c r="E360" s="14"/>
      <c r="F360" s="11"/>
      <c r="G360" s="12"/>
      <c r="H360" s="11"/>
      <c r="I360" s="12"/>
      <c r="J360" s="11">
        <v>43675</v>
      </c>
      <c r="K360" s="12"/>
      <c r="L360" s="11"/>
      <c r="M360" s="12"/>
      <c r="N360" s="11">
        <v>43621</v>
      </c>
      <c r="O360" s="12"/>
      <c r="P360" s="11"/>
      <c r="Q360" s="12">
        <v>43654</v>
      </c>
      <c r="R360" s="11">
        <v>43662</v>
      </c>
      <c r="S360" s="12"/>
      <c r="T360" s="11">
        <v>43607</v>
      </c>
      <c r="U360" s="12">
        <v>43617</v>
      </c>
      <c r="V360" s="11"/>
      <c r="W360" s="12">
        <v>43634</v>
      </c>
      <c r="X360" s="11">
        <v>43629</v>
      </c>
      <c r="Y360" s="12"/>
      <c r="Z360" s="11">
        <v>43651</v>
      </c>
      <c r="AA360" s="12">
        <v>43619</v>
      </c>
      <c r="AB360" s="11">
        <v>43659</v>
      </c>
      <c r="AC360" s="12"/>
      <c r="AD360" s="34"/>
      <c r="AE360" s="33">
        <f t="shared" si="54"/>
        <v>43607</v>
      </c>
      <c r="AF360" s="33">
        <f t="shared" si="55"/>
        <v>43634</v>
      </c>
      <c r="AG360" s="33">
        <f t="shared" si="56"/>
        <v>43675</v>
      </c>
      <c r="AH360">
        <v>447</v>
      </c>
      <c r="AK360" s="36" t="str">
        <f t="shared" si="57"/>
        <v/>
      </c>
      <c r="AL360" t="str">
        <f t="shared" si="58"/>
        <v/>
      </c>
      <c r="AM360" t="s">
        <v>393</v>
      </c>
      <c r="AN360">
        <f t="shared" si="59"/>
        <v>68</v>
      </c>
      <c r="AO360" t="str">
        <f t="shared" si="53"/>
        <v>22.5.---18.6.---29.7.</v>
      </c>
      <c r="AP360" t="str">
        <f t="shared" si="60"/>
        <v>Punakottarainen</v>
      </c>
      <c r="AQ360" t="str">
        <f t="shared" si="61"/>
        <v>(22.5.---18.6.---29.7.)</v>
      </c>
    </row>
    <row r="361" spans="1:43" x14ac:dyDescent="0.2">
      <c r="A361" s="1"/>
      <c r="B361" s="9">
        <f t="shared" si="52"/>
        <v>355</v>
      </c>
      <c r="C361" s="10"/>
      <c r="D361" s="9" t="s">
        <v>351</v>
      </c>
      <c r="E361" s="10"/>
      <c r="F361" s="11"/>
      <c r="G361" s="12"/>
      <c r="H361" s="11"/>
      <c r="I361" s="12">
        <v>43466</v>
      </c>
      <c r="J361" s="11">
        <v>43466</v>
      </c>
      <c r="K361" s="12">
        <v>43466</v>
      </c>
      <c r="L361" s="11">
        <v>43466</v>
      </c>
      <c r="M361" s="12">
        <v>43466</v>
      </c>
      <c r="N361" s="11">
        <v>43466</v>
      </c>
      <c r="O361" s="12">
        <v>43466</v>
      </c>
      <c r="P361" s="11">
        <v>43466</v>
      </c>
      <c r="Q361" s="12">
        <v>43466</v>
      </c>
      <c r="R361" s="11">
        <v>43466</v>
      </c>
      <c r="S361" s="12">
        <v>43466</v>
      </c>
      <c r="T361" s="11">
        <v>43466</v>
      </c>
      <c r="U361" s="12">
        <v>43466</v>
      </c>
      <c r="V361" s="11">
        <v>43466</v>
      </c>
      <c r="W361" s="12">
        <v>43466</v>
      </c>
      <c r="X361" s="11">
        <v>43466</v>
      </c>
      <c r="Y361" s="12">
        <v>43466</v>
      </c>
      <c r="Z361" s="11">
        <v>43466</v>
      </c>
      <c r="AA361" s="12">
        <v>43466</v>
      </c>
      <c r="AB361" s="11">
        <v>43466</v>
      </c>
      <c r="AC361" s="12">
        <v>43466</v>
      </c>
      <c r="AD361" s="34"/>
      <c r="AE361" s="33">
        <f t="shared" si="54"/>
        <v>43466</v>
      </c>
      <c r="AF361" s="33">
        <f t="shared" si="55"/>
        <v>43466</v>
      </c>
      <c r="AG361" s="33">
        <f t="shared" si="56"/>
        <v>43466</v>
      </c>
      <c r="AH361">
        <v>448</v>
      </c>
      <c r="AK361" s="36" t="str">
        <f t="shared" si="57"/>
        <v/>
      </c>
      <c r="AL361">
        <f t="shared" si="58"/>
        <v>18</v>
      </c>
      <c r="AM361">
        <v>18</v>
      </c>
      <c r="AN361">
        <f t="shared" si="59"/>
        <v>0</v>
      </c>
      <c r="AO361" t="str">
        <f t="shared" si="53"/>
        <v>1.1.---1.1.---1.1.</v>
      </c>
      <c r="AP361" t="str">
        <f t="shared" si="60"/>
        <v>Varpunen</v>
      </c>
      <c r="AQ361" t="str">
        <f t="shared" si="61"/>
        <v>(1.1.---1.1.---1.1., 18/21)</v>
      </c>
    </row>
    <row r="362" spans="1:43" x14ac:dyDescent="0.2">
      <c r="A362" s="1"/>
      <c r="B362" s="9">
        <f t="shared" si="52"/>
        <v>356</v>
      </c>
      <c r="C362" s="10"/>
      <c r="D362" s="9" t="s">
        <v>352</v>
      </c>
      <c r="E362" s="10"/>
      <c r="F362" s="11"/>
      <c r="G362" s="12"/>
      <c r="H362" s="11"/>
      <c r="I362" s="12">
        <v>43466</v>
      </c>
      <c r="J362" s="11">
        <v>43466</v>
      </c>
      <c r="K362" s="12">
        <v>43466</v>
      </c>
      <c r="L362" s="11">
        <v>43466</v>
      </c>
      <c r="M362" s="12">
        <v>43466</v>
      </c>
      <c r="N362" s="11">
        <v>43466</v>
      </c>
      <c r="O362" s="12">
        <v>43466</v>
      </c>
      <c r="P362" s="11">
        <v>43466</v>
      </c>
      <c r="Q362" s="12">
        <v>43466</v>
      </c>
      <c r="R362" s="11">
        <v>43466</v>
      </c>
      <c r="S362" s="12">
        <v>43466</v>
      </c>
      <c r="T362" s="11">
        <v>43466</v>
      </c>
      <c r="U362" s="12">
        <v>43466</v>
      </c>
      <c r="V362" s="11">
        <v>43466</v>
      </c>
      <c r="W362" s="12">
        <v>43466</v>
      </c>
      <c r="X362" s="11">
        <v>43466</v>
      </c>
      <c r="Y362" s="12">
        <v>43466</v>
      </c>
      <c r="Z362" s="11">
        <v>43466</v>
      </c>
      <c r="AA362" s="12">
        <v>43466</v>
      </c>
      <c r="AB362" s="11">
        <v>43466</v>
      </c>
      <c r="AC362" s="12">
        <v>43466</v>
      </c>
      <c r="AD362" s="34"/>
      <c r="AE362" s="33">
        <f t="shared" si="54"/>
        <v>43466</v>
      </c>
      <c r="AF362" s="33">
        <f t="shared" si="55"/>
        <v>43466</v>
      </c>
      <c r="AG362" s="33">
        <f t="shared" si="56"/>
        <v>43466</v>
      </c>
      <c r="AH362">
        <v>450</v>
      </c>
      <c r="AK362" s="36" t="str">
        <f t="shared" si="57"/>
        <v/>
      </c>
      <c r="AL362">
        <f t="shared" si="58"/>
        <v>18</v>
      </c>
      <c r="AM362">
        <v>18</v>
      </c>
      <c r="AN362">
        <f t="shared" si="59"/>
        <v>0</v>
      </c>
      <c r="AO362" t="str">
        <f t="shared" si="53"/>
        <v>1.1.---1.1.---1.1.</v>
      </c>
      <c r="AP362" t="str">
        <f t="shared" si="60"/>
        <v>Pikkuvarpunen</v>
      </c>
      <c r="AQ362" t="str">
        <f t="shared" si="61"/>
        <v>(1.1.---1.1.---1.1., 18/21)</v>
      </c>
    </row>
    <row r="363" spans="1:43" x14ac:dyDescent="0.2">
      <c r="A363" s="1"/>
      <c r="B363" s="9">
        <f t="shared" si="52"/>
        <v>357</v>
      </c>
      <c r="C363" s="10"/>
      <c r="D363" s="9" t="s">
        <v>353</v>
      </c>
      <c r="E363" s="10"/>
      <c r="F363" s="11">
        <f>IF(AG1,DATE(2019,1,16),DATE(2019,3,30))</f>
        <v>43554</v>
      </c>
      <c r="G363" s="12">
        <f>IF(AG1,DATE(2019,1,1),DATE(2019,4,1))</f>
        <v>43556</v>
      </c>
      <c r="H363" s="11">
        <f>IF(AG1,DATE(2019,1,1),DATE(2019,3,15))</f>
        <v>43539</v>
      </c>
      <c r="I363" s="12">
        <f>IF(AG1,DATE(2019,1,1),DATE(2019,3,25))</f>
        <v>43549</v>
      </c>
      <c r="J363" s="11">
        <f>IF(AG1,DATE(2019,1,1),DATE(2019,3,19))</f>
        <v>43543</v>
      </c>
      <c r="K363" s="12">
        <f>IF(AG1,DATE(2019,1,1),DATE(2019,3,24))</f>
        <v>43548</v>
      </c>
      <c r="L363" s="11">
        <f>IF(AG1,DATE(2019,1,1),DATE(2019,4,7))</f>
        <v>43562</v>
      </c>
      <c r="M363" s="12">
        <f>IF(AG1,DATE(2019,1,1),DATE(2019,3,8))</f>
        <v>43532</v>
      </c>
      <c r="N363" s="11">
        <f>IF(AG1,DATE(2019,1,5),DATE(2019,3,27))</f>
        <v>43551</v>
      </c>
      <c r="O363" s="12">
        <f>IF(AG1,DATE(2019,1,1),DATE(2019,3,17))</f>
        <v>43541</v>
      </c>
      <c r="P363" s="11">
        <f>IF(AG1,DATE(2019,1,1),DATE(2019,4,1))</f>
        <v>43556</v>
      </c>
      <c r="Q363" s="12">
        <f>IF(AG1,DATE(2019,1,1),DATE(2019,4,1))</f>
        <v>43556</v>
      </c>
      <c r="R363" s="11">
        <f>IF(AG1,DATE(2019,1,1),DATE(2019,3,24))</f>
        <v>43548</v>
      </c>
      <c r="S363" s="12">
        <f>IF(AG1,DATE(2019,1,1),DATE(2019,3,21))</f>
        <v>43545</v>
      </c>
      <c r="T363" s="11">
        <f>IF(AG1,DATE(2019,1,1),DATE(2019,3,23))</f>
        <v>43547</v>
      </c>
      <c r="U363" s="12">
        <f>IF(AG1,DATE(2019,1,1),DATE(2019,3,1))</f>
        <v>43525</v>
      </c>
      <c r="V363" s="11">
        <f>IF(AG1,DATE(2019,1,1),DATE(2019,3,26))</f>
        <v>43550</v>
      </c>
      <c r="W363" s="12">
        <f>IF(AG1,DATE(2019,1,1),DATE(2019,3,7))</f>
        <v>43531</v>
      </c>
      <c r="X363" s="11">
        <f>IF(AG1,DATE(2019,1,1),DATE(2019,3,17))</f>
        <v>43541</v>
      </c>
      <c r="Y363" s="12">
        <f>IF(AG1,DATE(2019,1,1),DATE(2019,3,20))</f>
        <v>43544</v>
      </c>
      <c r="Z363" s="11">
        <f>IF(AG1,DATE(2019,1,1),DATE(2019,3,18))</f>
        <v>43542</v>
      </c>
      <c r="AA363" s="12">
        <v>43466</v>
      </c>
      <c r="AB363" s="11">
        <f>IF(AF1,DATE(2019,1,1),DATE(2019,3,1))</f>
        <v>43525</v>
      </c>
      <c r="AC363" s="12">
        <v>43466</v>
      </c>
      <c r="AD363" s="34"/>
      <c r="AE363" s="33">
        <f t="shared" si="54"/>
        <v>43525</v>
      </c>
      <c r="AF363" s="33">
        <f t="shared" si="55"/>
        <v>43547</v>
      </c>
      <c r="AG363" s="33">
        <f t="shared" si="56"/>
        <v>43562</v>
      </c>
      <c r="AH363">
        <v>451</v>
      </c>
      <c r="AK363" s="36" t="str">
        <f t="shared" si="57"/>
        <v/>
      </c>
      <c r="AL363" t="str">
        <f t="shared" si="58"/>
        <v/>
      </c>
      <c r="AM363">
        <v>21</v>
      </c>
      <c r="AN363">
        <f t="shared" si="59"/>
        <v>37</v>
      </c>
      <c r="AO363" t="str">
        <f t="shared" si="53"/>
        <v>1.3.---23.3.---7.4.</v>
      </c>
      <c r="AP363" t="str">
        <f t="shared" si="60"/>
        <v>Peippo</v>
      </c>
      <c r="AQ363" t="str">
        <f t="shared" si="61"/>
        <v>(1.3.---23.3.---7.4., 21/21)</v>
      </c>
    </row>
    <row r="364" spans="1:43" x14ac:dyDescent="0.2">
      <c r="A364" s="1"/>
      <c r="B364" s="9">
        <f t="shared" si="52"/>
        <v>358</v>
      </c>
      <c r="C364" s="10"/>
      <c r="D364" s="9" t="s">
        <v>354</v>
      </c>
      <c r="E364" s="10"/>
      <c r="F364" s="11">
        <v>43565</v>
      </c>
      <c r="G364" s="12">
        <f>IF(AG1,DATE(2019,1,1),DATE(2019,4,7))</f>
        <v>43562</v>
      </c>
      <c r="H364" s="11">
        <f>IF(AG1,DATE(2019,1,9),DATE(2019,3,26))</f>
        <v>43550</v>
      </c>
      <c r="I364" s="12">
        <f>IF(AG1,DATE(2019,1,12),DATE(2019,4,12))</f>
        <v>43567</v>
      </c>
      <c r="J364" s="11">
        <f>IF(AG1,DATE(2019,1,2),DATE(2019,4,7))</f>
        <v>43562</v>
      </c>
      <c r="K364" s="12">
        <f>IF(AG1,DATE(2019,1,7),DATE(2019,3,13))</f>
        <v>43537</v>
      </c>
      <c r="L364" s="11">
        <f>IF(AG1,DATE(2019,1,1),DATE(2019,3,27))</f>
        <v>43551</v>
      </c>
      <c r="M364" s="12">
        <f>IF(AG1,DATE(2019,1,1),DATE(2019,3,30))</f>
        <v>43554</v>
      </c>
      <c r="N364" s="11">
        <f>IF(AG1,DATE(2019,1,1),DATE(2019,4,6))</f>
        <v>43561</v>
      </c>
      <c r="O364" s="12">
        <f>IF(AG1,DATE(2019,1,1),DATE(2019,4,5))</f>
        <v>43560</v>
      </c>
      <c r="P364" s="11">
        <f>IF(AG1,DATE(2019,1,1),DATE(2019,4,5))</f>
        <v>43560</v>
      </c>
      <c r="Q364" s="12">
        <f>IF(AG1,DATE(2019,1,1),DATE(2019,4,7))</f>
        <v>43562</v>
      </c>
      <c r="R364" s="11">
        <f>IF(AG1,DATE(2019,1,3),DATE(2019,4,10))</f>
        <v>43565</v>
      </c>
      <c r="S364" s="12">
        <f>IF(AG1,DATE(2019,1,1),DATE(2019,4,11))</f>
        <v>43566</v>
      </c>
      <c r="T364" s="11">
        <f>IF(AG1,DATE(2019,1,8),DATE(2019,3,25))</f>
        <v>43549</v>
      </c>
      <c r="U364" s="12">
        <f>IF(AG1,DATE(2019,1,2),DATE(2019,3,15))</f>
        <v>43539</v>
      </c>
      <c r="V364" s="11">
        <f>IF(AG1,DATE(2019,2,13),DATE(2019,4,3))</f>
        <v>43558</v>
      </c>
      <c r="W364" s="12">
        <f>IF(AG1,DATE(2019,1,2),DATE(2019,3,27))</f>
        <v>43551</v>
      </c>
      <c r="X364" s="11">
        <f>IF(AG1,DATE(2019,1,1),DATE(2019,3,16))</f>
        <v>43540</v>
      </c>
      <c r="Y364" s="12">
        <f>IF(AG1,DATE(2019,1,1),DATE(2019,3,10))</f>
        <v>43534</v>
      </c>
      <c r="Z364" s="11">
        <f>IF(AG1,DATE(2019,1,1),DATE(2019,3,14))</f>
        <v>43538</v>
      </c>
      <c r="AA364" s="12">
        <f>IF(AG1,DATE(2019,1,1),DATE(2019,3,27))</f>
        <v>43551</v>
      </c>
      <c r="AB364" s="11">
        <f>IF(AF1,DATE(2019,1,5),DATE(2019,3,9))</f>
        <v>43533</v>
      </c>
      <c r="AC364" s="12">
        <v>43467</v>
      </c>
      <c r="AD364" s="34"/>
      <c r="AE364" s="33">
        <f t="shared" si="54"/>
        <v>43534</v>
      </c>
      <c r="AF364" s="33">
        <f t="shared" si="55"/>
        <v>43558</v>
      </c>
      <c r="AG364" s="33">
        <f t="shared" si="56"/>
        <v>43567</v>
      </c>
      <c r="AH364">
        <v>452</v>
      </c>
      <c r="AK364" s="36" t="str">
        <f t="shared" si="57"/>
        <v/>
      </c>
      <c r="AL364" t="str">
        <f t="shared" si="58"/>
        <v/>
      </c>
      <c r="AM364">
        <v>20</v>
      </c>
      <c r="AN364">
        <f t="shared" si="59"/>
        <v>33</v>
      </c>
      <c r="AO364" t="str">
        <f t="shared" si="53"/>
        <v>10.3.---3.4.---12.4.</v>
      </c>
      <c r="AP364" t="str">
        <f t="shared" si="60"/>
        <v>Järripeippo</v>
      </c>
      <c r="AQ364" t="str">
        <f t="shared" si="61"/>
        <v>(10.3.---3.4.---12.4., 20/21)</v>
      </c>
    </row>
    <row r="365" spans="1:43" x14ac:dyDescent="0.2">
      <c r="A365" s="1"/>
      <c r="B365" s="9">
        <f t="shared" si="52"/>
        <v>359</v>
      </c>
      <c r="C365" s="10"/>
      <c r="D365" s="13" t="s">
        <v>355</v>
      </c>
      <c r="E365" s="14"/>
      <c r="F365" s="11"/>
      <c r="G365" s="12"/>
      <c r="H365" s="11"/>
      <c r="I365" s="12"/>
      <c r="J365" s="11">
        <v>43581</v>
      </c>
      <c r="K365" s="12"/>
      <c r="L365" s="11"/>
      <c r="M365" s="12"/>
      <c r="N365" s="11"/>
      <c r="O365" s="12"/>
      <c r="P365" s="11"/>
      <c r="Q365" s="12">
        <v>43596</v>
      </c>
      <c r="R365" s="11"/>
      <c r="S365" s="12"/>
      <c r="T365" s="11"/>
      <c r="U365" s="12"/>
      <c r="V365" s="11">
        <v>43623</v>
      </c>
      <c r="W365" s="12">
        <v>43587</v>
      </c>
      <c r="X365" s="11">
        <v>43591</v>
      </c>
      <c r="Y365" s="12"/>
      <c r="Z365" s="11">
        <v>43721</v>
      </c>
      <c r="AA365" s="12">
        <v>43792</v>
      </c>
      <c r="AB365" s="11">
        <v>43466</v>
      </c>
      <c r="AC365" s="12"/>
      <c r="AD365" s="34"/>
      <c r="AE365" s="33">
        <f t="shared" si="54"/>
        <v>43581</v>
      </c>
      <c r="AF365" s="33">
        <f t="shared" si="55"/>
        <v>43593.5</v>
      </c>
      <c r="AG365" s="33">
        <f t="shared" si="56"/>
        <v>43721</v>
      </c>
      <c r="AH365">
        <v>453</v>
      </c>
      <c r="AK365" s="36" t="str">
        <f t="shared" si="57"/>
        <v/>
      </c>
      <c r="AL365" t="str">
        <f t="shared" si="58"/>
        <v/>
      </c>
      <c r="AM365" t="s">
        <v>393</v>
      </c>
      <c r="AN365">
        <f t="shared" si="59"/>
        <v>140</v>
      </c>
      <c r="AO365" t="str">
        <f t="shared" si="53"/>
        <v>26.4.---8.5.---13.9.</v>
      </c>
      <c r="AP365" t="str">
        <f t="shared" si="60"/>
        <v>Keltahemppo</v>
      </c>
      <c r="AQ365" t="str">
        <f t="shared" si="61"/>
        <v>(26.4.---8.5.---13.9.)</v>
      </c>
    </row>
    <row r="366" spans="1:43" x14ac:dyDescent="0.2">
      <c r="A366" s="1"/>
      <c r="B366" s="9">
        <f t="shared" si="52"/>
        <v>360</v>
      </c>
      <c r="C366" s="10"/>
      <c r="D366" s="9" t="s">
        <v>356</v>
      </c>
      <c r="E366" s="10"/>
      <c r="F366" s="11"/>
      <c r="G366" s="12"/>
      <c r="H366" s="11"/>
      <c r="I366" s="12">
        <v>43466</v>
      </c>
      <c r="J366" s="11">
        <v>43466</v>
      </c>
      <c r="K366" s="12">
        <v>43466</v>
      </c>
      <c r="L366" s="11">
        <v>43466</v>
      </c>
      <c r="M366" s="12">
        <v>43466</v>
      </c>
      <c r="N366" s="11">
        <v>43466</v>
      </c>
      <c r="O366" s="12">
        <v>43466</v>
      </c>
      <c r="P366" s="11">
        <v>43466</v>
      </c>
      <c r="Q366" s="12">
        <v>43466</v>
      </c>
      <c r="R366" s="11">
        <v>43466</v>
      </c>
      <c r="S366" s="12">
        <v>43466</v>
      </c>
      <c r="T366" s="11">
        <v>43466</v>
      </c>
      <c r="U366" s="12">
        <v>43466</v>
      </c>
      <c r="V366" s="11">
        <v>43466</v>
      </c>
      <c r="W366" s="12">
        <v>43466</v>
      </c>
      <c r="X366" s="11">
        <v>43466</v>
      </c>
      <c r="Y366" s="12">
        <v>43466</v>
      </c>
      <c r="Z366" s="11">
        <v>43466</v>
      </c>
      <c r="AA366" s="12">
        <v>43466</v>
      </c>
      <c r="AB366" s="11">
        <v>43466</v>
      </c>
      <c r="AC366" s="12">
        <v>43466</v>
      </c>
      <c r="AD366" s="34"/>
      <c r="AE366" s="33">
        <f t="shared" si="54"/>
        <v>43466</v>
      </c>
      <c r="AF366" s="33">
        <f t="shared" si="55"/>
        <v>43466</v>
      </c>
      <c r="AG366" s="33">
        <f t="shared" si="56"/>
        <v>43466</v>
      </c>
      <c r="AH366">
        <v>455</v>
      </c>
      <c r="AK366" s="36" t="str">
        <f t="shared" si="57"/>
        <v/>
      </c>
      <c r="AL366">
        <f t="shared" si="58"/>
        <v>18</v>
      </c>
      <c r="AM366">
        <v>18</v>
      </c>
      <c r="AN366">
        <f t="shared" si="59"/>
        <v>0</v>
      </c>
      <c r="AO366" t="str">
        <f t="shared" si="53"/>
        <v>1.1.---1.1.---1.1.</v>
      </c>
      <c r="AP366" t="str">
        <f t="shared" si="60"/>
        <v>Viherpeippo</v>
      </c>
      <c r="AQ366" t="str">
        <f t="shared" si="61"/>
        <v>(1.1.---1.1.---1.1., 18/21)</v>
      </c>
    </row>
    <row r="367" spans="1:43" x14ac:dyDescent="0.2">
      <c r="A367" s="1"/>
      <c r="B367" s="9">
        <f t="shared" si="52"/>
        <v>361</v>
      </c>
      <c r="C367" s="10"/>
      <c r="D367" s="9" t="s">
        <v>357</v>
      </c>
      <c r="E367" s="10"/>
      <c r="F367" s="11">
        <v>43466</v>
      </c>
      <c r="G367" s="12">
        <v>43466</v>
      </c>
      <c r="H367" s="11">
        <v>43466</v>
      </c>
      <c r="I367" s="12">
        <v>43466</v>
      </c>
      <c r="J367" s="11">
        <v>43466</v>
      </c>
      <c r="K367" s="12">
        <v>43466</v>
      </c>
      <c r="L367" s="11">
        <v>43466</v>
      </c>
      <c r="M367" s="12">
        <v>43466</v>
      </c>
      <c r="N367" s="11">
        <v>43466</v>
      </c>
      <c r="O367" s="12">
        <v>43466</v>
      </c>
      <c r="P367" s="11">
        <v>43466</v>
      </c>
      <c r="Q367" s="12">
        <v>43466</v>
      </c>
      <c r="R367" s="11">
        <v>43466</v>
      </c>
      <c r="S367" s="12">
        <v>43468</v>
      </c>
      <c r="T367" s="11">
        <v>43466</v>
      </c>
      <c r="U367" s="12">
        <v>43466</v>
      </c>
      <c r="V367" s="11">
        <v>43466</v>
      </c>
      <c r="W367" s="12">
        <v>43466</v>
      </c>
      <c r="X367" s="11">
        <v>43466</v>
      </c>
      <c r="Y367" s="12">
        <v>43466</v>
      </c>
      <c r="Z367" s="11">
        <v>43466</v>
      </c>
      <c r="AA367" s="12">
        <v>43466</v>
      </c>
      <c r="AB367" s="11">
        <v>43466</v>
      </c>
      <c r="AC367" s="12">
        <v>43466</v>
      </c>
      <c r="AD367" s="34"/>
      <c r="AE367" s="33">
        <f t="shared" si="54"/>
        <v>43466</v>
      </c>
      <c r="AF367" s="33">
        <f t="shared" si="55"/>
        <v>43466</v>
      </c>
      <c r="AG367" s="33">
        <f t="shared" si="56"/>
        <v>43468</v>
      </c>
      <c r="AH367">
        <v>456</v>
      </c>
      <c r="AK367" s="36" t="str">
        <f t="shared" si="57"/>
        <v/>
      </c>
      <c r="AL367">
        <f t="shared" si="58"/>
        <v>21</v>
      </c>
      <c r="AM367">
        <v>21</v>
      </c>
      <c r="AN367">
        <f t="shared" si="59"/>
        <v>2</v>
      </c>
      <c r="AO367" t="str">
        <f t="shared" si="53"/>
        <v>1.1.---1.1.---3.1.</v>
      </c>
      <c r="AP367" t="str">
        <f t="shared" si="60"/>
        <v>Tikli</v>
      </c>
      <c r="AQ367" t="str">
        <f t="shared" si="61"/>
        <v>(1.1.---1.1.---3.1., 21/21)</v>
      </c>
    </row>
    <row r="368" spans="1:43" x14ac:dyDescent="0.2">
      <c r="A368" s="1"/>
      <c r="B368" s="9">
        <f t="shared" si="52"/>
        <v>362</v>
      </c>
      <c r="C368" s="10"/>
      <c r="D368" s="18" t="s">
        <v>358</v>
      </c>
      <c r="E368" s="10"/>
      <c r="F368" s="11">
        <f>IF(AG1,DATE(2019,1,13),DATE(2019,4,18))</f>
        <v>43573</v>
      </c>
      <c r="G368" s="12">
        <f>IF(AG1,DATE(2019,1,1),DATE(2019,3,1))</f>
        <v>43525</v>
      </c>
      <c r="H368" s="11">
        <f>IF(AG1,DATE(2019,1,5),DATE(2019,4,10))</f>
        <v>43565</v>
      </c>
      <c r="I368" s="12">
        <f>IF(AG1,DATE(2019,1,1),DATE(2019,3,17))</f>
        <v>43541</v>
      </c>
      <c r="J368" s="11">
        <f>IF(AG1,DATE(2019,1,1),DATE(2019,3,8))</f>
        <v>43532</v>
      </c>
      <c r="K368" s="12">
        <f>IF(AG1,DATE(2019,1,2),DATE(2019,3,18))</f>
        <v>43542</v>
      </c>
      <c r="L368" s="11">
        <f>IF(AG1,DATE(2019,1,1),DATE(2019,4,7))</f>
        <v>43562</v>
      </c>
      <c r="M368" s="12">
        <f>IF(AG1,DATE(2019,1,1),DATE(2019,3,16))</f>
        <v>43540</v>
      </c>
      <c r="N368" s="11">
        <f>IF(AG1,DATE(2019,1,1),DATE(2019,3,10))</f>
        <v>43534</v>
      </c>
      <c r="O368" s="12">
        <f>IF(AG1,DATE(2019,1,1),DATE(2019,3,10))</f>
        <v>43534</v>
      </c>
      <c r="P368" s="11">
        <f>IF(AG1,DATE(2019,1,4),DATE(2019,3,8))</f>
        <v>43532</v>
      </c>
      <c r="Q368" s="12">
        <f>IF(AG1,DATE(2019,1,1),DATE(2019,3,29))</f>
        <v>43553</v>
      </c>
      <c r="R368" s="11">
        <f>IF(AG1,DATE(2019,1,6),DATE(2019,3,14))</f>
        <v>43538</v>
      </c>
      <c r="S368" s="12">
        <f>IF(AG1,DATE(2019,1,1),DATE(2019,3,15))</f>
        <v>43539</v>
      </c>
      <c r="T368" s="11">
        <f>IF(AG1,DATE(2019,1,7),DATE(2019,3,13))</f>
        <v>43537</v>
      </c>
      <c r="U368" s="12">
        <f>IF(AG1,DATE(2019,1,1),DATE(2019,3,14))</f>
        <v>43538</v>
      </c>
      <c r="V368" s="11">
        <f>IF(AG1,DATE(2019,1,1),DATE(2019,3,20))</f>
        <v>43544</v>
      </c>
      <c r="W368" s="12">
        <f>IF(AG1,DATE(2019,1,3),DATE(2019,3,11))</f>
        <v>43535</v>
      </c>
      <c r="X368" s="11">
        <f>IF(AG1,DATE(2019,1,4),DATE(2019,3,7))</f>
        <v>43531</v>
      </c>
      <c r="Y368" s="12">
        <f>IF(AG1,DATE(2019,1,19),DATE(2019,3,9))</f>
        <v>43533</v>
      </c>
      <c r="Z368" s="11">
        <f>IF(AG1,DATE(2019,1,1),DATE(2019,3,6))</f>
        <v>43530</v>
      </c>
      <c r="AA368" s="12">
        <f>IF(AG1,DATE(2019,1,18),DATE(2019,3,18))</f>
        <v>43542</v>
      </c>
      <c r="AB368" s="11">
        <f>IF(AF1,DATE(2019,1,2),DATE(2019,3,1))</f>
        <v>43525</v>
      </c>
      <c r="AC368" s="12">
        <v>43466</v>
      </c>
      <c r="AD368" s="34"/>
      <c r="AE368" s="33">
        <f t="shared" si="54"/>
        <v>43525</v>
      </c>
      <c r="AF368" s="33">
        <f t="shared" si="55"/>
        <v>43538</v>
      </c>
      <c r="AG368" s="33">
        <f t="shared" si="56"/>
        <v>43573</v>
      </c>
      <c r="AH368">
        <v>457</v>
      </c>
      <c r="AK368" s="36" t="str">
        <f t="shared" si="57"/>
        <v/>
      </c>
      <c r="AL368" t="str">
        <f t="shared" si="58"/>
        <v/>
      </c>
      <c r="AM368">
        <v>21</v>
      </c>
      <c r="AN368">
        <f t="shared" si="59"/>
        <v>48</v>
      </c>
      <c r="AO368" t="str">
        <f t="shared" si="53"/>
        <v>1.3.---14.3.---18.4.</v>
      </c>
      <c r="AP368" t="str">
        <f t="shared" si="60"/>
        <v>Vihervarpunen</v>
      </c>
      <c r="AQ368" t="str">
        <f t="shared" si="61"/>
        <v>(1.3.---14.3.---18.4., 21/21)</v>
      </c>
    </row>
    <row r="369" spans="1:43" x14ac:dyDescent="0.2">
      <c r="A369" s="1"/>
      <c r="B369" s="9">
        <f t="shared" si="52"/>
        <v>363</v>
      </c>
      <c r="C369" s="10"/>
      <c r="D369" s="9" t="s">
        <v>359</v>
      </c>
      <c r="E369" s="10"/>
      <c r="F369" s="11">
        <v>43553</v>
      </c>
      <c r="G369" s="12">
        <f>IF(AG1,DATE(2019,1,14),DATE(2019,4,2))</f>
        <v>43557</v>
      </c>
      <c r="H369" s="11">
        <f>IF(AG1,DATE(2019,1,3),DATE(2019,3,26))</f>
        <v>43550</v>
      </c>
      <c r="I369" s="12">
        <f>IF(AG1,DATE(2019,1,7),DATE(2019,3,27))</f>
        <v>43551</v>
      </c>
      <c r="J369" s="11">
        <v>43558</v>
      </c>
      <c r="K369" s="12">
        <f>IF(AG1,DATE(2019,1,8),DATE(2019,4,4))</f>
        <v>43559</v>
      </c>
      <c r="L369" s="11">
        <v>43563</v>
      </c>
      <c r="M369" s="12">
        <f>IF(AG1,DATE(2019,1,1),DATE(2019,3,24))</f>
        <v>43548</v>
      </c>
      <c r="N369" s="11">
        <v>43560</v>
      </c>
      <c r="O369" s="12">
        <f>IF(AG1,DATE(2019,1,2),DATE(2019,4,5))</f>
        <v>43560</v>
      </c>
      <c r="P369" s="11">
        <f>IF(AG1,DATE(2019,2,25),DATE(2019,4,2))</f>
        <v>43557</v>
      </c>
      <c r="Q369" s="12">
        <v>43560</v>
      </c>
      <c r="R369" s="11">
        <v>43546</v>
      </c>
      <c r="S369" s="12">
        <v>43567</v>
      </c>
      <c r="T369" s="11">
        <f>IF(AG1,DATE(2019,1,5),DATE(2019,3,23))</f>
        <v>43547</v>
      </c>
      <c r="U369" s="12">
        <v>43539</v>
      </c>
      <c r="V369" s="11">
        <f>IF(AG1,DATE(2019,1,4),DATE(2019,3,28))</f>
        <v>43552</v>
      </c>
      <c r="W369" s="12">
        <v>43549</v>
      </c>
      <c r="X369" s="11">
        <f>IF(AG1,DATE(2019,1,1),DATE(2019,4,5))</f>
        <v>43560</v>
      </c>
      <c r="Y369" s="12">
        <f>IF(AG1,DATE(2019,1,6),DATE(2019,3,17))</f>
        <v>43541</v>
      </c>
      <c r="Z369" s="11">
        <f>IF(AG1,DATE(2019,1,2),DATE(2019,3,18))</f>
        <v>43542</v>
      </c>
      <c r="AA369" s="12">
        <f>IF(AG1,DATE(2019,1,6),DATE(2019,3,27))</f>
        <v>43551</v>
      </c>
      <c r="AB369" s="11">
        <v>43466</v>
      </c>
      <c r="AC369" s="12">
        <v>43468</v>
      </c>
      <c r="AD369" s="34"/>
      <c r="AE369" s="33">
        <f t="shared" si="54"/>
        <v>43539</v>
      </c>
      <c r="AF369" s="33">
        <f t="shared" si="55"/>
        <v>43553</v>
      </c>
      <c r="AG369" s="33">
        <f t="shared" si="56"/>
        <v>43567</v>
      </c>
      <c r="AH369">
        <v>458</v>
      </c>
      <c r="AK369" s="36" t="str">
        <f t="shared" si="57"/>
        <v/>
      </c>
      <c r="AL369" t="str">
        <f t="shared" si="58"/>
        <v/>
      </c>
      <c r="AM369">
        <v>12</v>
      </c>
      <c r="AN369">
        <f t="shared" si="59"/>
        <v>28</v>
      </c>
      <c r="AO369" t="str">
        <f t="shared" si="53"/>
        <v>15.3.---29.3.---12.4.</v>
      </c>
      <c r="AP369" t="str">
        <f t="shared" si="60"/>
        <v>Hemppo</v>
      </c>
      <c r="AQ369" t="str">
        <f t="shared" si="61"/>
        <v>(15.3.---29.3.---12.4., 12/21)</v>
      </c>
    </row>
    <row r="370" spans="1:43" x14ac:dyDescent="0.2">
      <c r="A370" s="1"/>
      <c r="B370" s="9">
        <f t="shared" si="52"/>
        <v>364</v>
      </c>
      <c r="C370" s="10"/>
      <c r="D370" s="9" t="s">
        <v>360</v>
      </c>
      <c r="E370" s="10"/>
      <c r="F370" s="11">
        <v>43466</v>
      </c>
      <c r="G370" s="12">
        <v>43466</v>
      </c>
      <c r="H370" s="11">
        <v>43466</v>
      </c>
      <c r="I370" s="12">
        <v>43466</v>
      </c>
      <c r="J370" s="11">
        <v>43474</v>
      </c>
      <c r="K370" s="12">
        <v>43526</v>
      </c>
      <c r="L370" s="11">
        <v>43466</v>
      </c>
      <c r="M370" s="12">
        <v>43466</v>
      </c>
      <c r="N370" s="11">
        <v>43467</v>
      </c>
      <c r="O370" s="12">
        <v>43468</v>
      </c>
      <c r="P370" s="11">
        <v>43469</v>
      </c>
      <c r="Q370" s="12">
        <v>43562</v>
      </c>
      <c r="R370" s="11">
        <v>43467</v>
      </c>
      <c r="S370" s="12">
        <v>43467</v>
      </c>
      <c r="T370" s="11">
        <v>43477</v>
      </c>
      <c r="U370" s="12">
        <v>43466</v>
      </c>
      <c r="V370" s="11">
        <v>43469</v>
      </c>
      <c r="W370" s="12">
        <v>43479</v>
      </c>
      <c r="X370" s="11">
        <v>43486</v>
      </c>
      <c r="Y370" s="12">
        <v>43475</v>
      </c>
      <c r="Z370" s="11">
        <v>43502</v>
      </c>
      <c r="AA370" s="12">
        <v>43467</v>
      </c>
      <c r="AB370" s="11">
        <v>43558</v>
      </c>
      <c r="AC370" s="12">
        <v>43466</v>
      </c>
      <c r="AD370" s="34"/>
      <c r="AE370" s="33">
        <f t="shared" si="54"/>
        <v>43466</v>
      </c>
      <c r="AF370" s="33">
        <f t="shared" si="55"/>
        <v>43468</v>
      </c>
      <c r="AG370" s="33">
        <f t="shared" si="56"/>
        <v>43562</v>
      </c>
      <c r="AH370">
        <v>459</v>
      </c>
      <c r="AK370" s="36" t="str">
        <f t="shared" si="57"/>
        <v/>
      </c>
      <c r="AL370">
        <f t="shared" si="58"/>
        <v>19</v>
      </c>
      <c r="AM370">
        <v>19</v>
      </c>
      <c r="AN370">
        <f t="shared" si="59"/>
        <v>96</v>
      </c>
      <c r="AO370" t="str">
        <f t="shared" si="53"/>
        <v>1.1.---3.1.---7.4.</v>
      </c>
      <c r="AP370" t="str">
        <f t="shared" si="60"/>
        <v>Vuorihemppo</v>
      </c>
      <c r="AQ370" t="str">
        <f t="shared" si="61"/>
        <v>(1.1.---3.1.---7.4., 19/21)</v>
      </c>
    </row>
    <row r="371" spans="1:43" x14ac:dyDescent="0.2">
      <c r="A371" s="1"/>
      <c r="B371" s="9">
        <f t="shared" si="52"/>
        <v>365</v>
      </c>
      <c r="C371" s="10"/>
      <c r="D371" s="9" t="s">
        <v>361</v>
      </c>
      <c r="E371" s="10"/>
      <c r="F371" s="11"/>
      <c r="G371" s="12">
        <v>43466</v>
      </c>
      <c r="H371" s="11">
        <v>43466</v>
      </c>
      <c r="I371" s="12">
        <v>43466</v>
      </c>
      <c r="J371" s="11">
        <v>43466</v>
      </c>
      <c r="K371" s="12">
        <v>43466</v>
      </c>
      <c r="L371" s="11">
        <v>43466</v>
      </c>
      <c r="M371" s="12">
        <v>43466</v>
      </c>
      <c r="N371" s="11">
        <v>43466</v>
      </c>
      <c r="O371" s="12">
        <v>43466</v>
      </c>
      <c r="P371" s="11">
        <v>43466</v>
      </c>
      <c r="Q371" s="12">
        <v>43466</v>
      </c>
      <c r="R371" s="11">
        <v>43466</v>
      </c>
      <c r="S371" s="12">
        <v>43466</v>
      </c>
      <c r="T371" s="11">
        <v>43466</v>
      </c>
      <c r="U371" s="12">
        <v>43466</v>
      </c>
      <c r="V371" s="11">
        <v>43466</v>
      </c>
      <c r="W371" s="12">
        <v>43466</v>
      </c>
      <c r="X371" s="11">
        <v>43466</v>
      </c>
      <c r="Y371" s="12">
        <v>43466</v>
      </c>
      <c r="Z371" s="11">
        <v>43466</v>
      </c>
      <c r="AA371" s="12">
        <v>43466</v>
      </c>
      <c r="AB371" s="11">
        <v>43466</v>
      </c>
      <c r="AC371" s="12">
        <v>43466</v>
      </c>
      <c r="AD371" s="34"/>
      <c r="AE371" s="33">
        <f t="shared" si="54"/>
        <v>43466</v>
      </c>
      <c r="AF371" s="33">
        <f t="shared" si="55"/>
        <v>43466</v>
      </c>
      <c r="AG371" s="33">
        <f t="shared" si="56"/>
        <v>43466</v>
      </c>
      <c r="AH371">
        <v>460</v>
      </c>
      <c r="AK371" s="36" t="str">
        <f t="shared" si="57"/>
        <v/>
      </c>
      <c r="AL371">
        <f t="shared" si="58"/>
        <v>20</v>
      </c>
      <c r="AM371">
        <v>20</v>
      </c>
      <c r="AN371">
        <f t="shared" si="59"/>
        <v>0</v>
      </c>
      <c r="AO371" t="str">
        <f t="shared" si="53"/>
        <v>1.1.---1.1.---1.1.</v>
      </c>
      <c r="AP371" t="str">
        <f t="shared" si="60"/>
        <v>Urpiainen</v>
      </c>
      <c r="AQ371" t="str">
        <f t="shared" si="61"/>
        <v>(1.1.---1.1.---1.1., 20/21)</v>
      </c>
    </row>
    <row r="372" spans="1:43" x14ac:dyDescent="0.2">
      <c r="A372" s="1"/>
      <c r="B372" s="9">
        <f t="shared" si="52"/>
        <v>366</v>
      </c>
      <c r="C372" s="10"/>
      <c r="D372" s="9" t="s">
        <v>362</v>
      </c>
      <c r="E372" s="10"/>
      <c r="F372" s="11">
        <v>43467</v>
      </c>
      <c r="G372" s="12">
        <v>43482</v>
      </c>
      <c r="H372" s="11">
        <v>43466</v>
      </c>
      <c r="I372" s="12">
        <v>43466</v>
      </c>
      <c r="J372" s="11">
        <v>43466</v>
      </c>
      <c r="K372" s="12">
        <v>43466</v>
      </c>
      <c r="L372" s="11">
        <v>43466</v>
      </c>
      <c r="M372" s="12">
        <v>43466</v>
      </c>
      <c r="N372" s="11">
        <v>43466</v>
      </c>
      <c r="O372" s="12">
        <v>43466</v>
      </c>
      <c r="P372" s="11">
        <v>43469</v>
      </c>
      <c r="Q372" s="12">
        <v>43466</v>
      </c>
      <c r="R372" s="11">
        <v>43472</v>
      </c>
      <c r="S372" s="12">
        <v>43466</v>
      </c>
      <c r="T372" s="11">
        <v>43466</v>
      </c>
      <c r="U372" s="12">
        <v>43467</v>
      </c>
      <c r="V372" s="11">
        <v>43466</v>
      </c>
      <c r="W372" s="12">
        <v>43466</v>
      </c>
      <c r="X372" s="11">
        <v>43466</v>
      </c>
      <c r="Y372" s="12">
        <v>43466</v>
      </c>
      <c r="Z372" s="11">
        <v>43466</v>
      </c>
      <c r="AA372" s="12">
        <v>43466</v>
      </c>
      <c r="AB372" s="11">
        <v>43476</v>
      </c>
      <c r="AC372" s="12">
        <v>43466</v>
      </c>
      <c r="AD372" s="34"/>
      <c r="AE372" s="33">
        <f t="shared" si="54"/>
        <v>43466</v>
      </c>
      <c r="AF372" s="33">
        <f t="shared" si="55"/>
        <v>43466</v>
      </c>
      <c r="AG372" s="33">
        <f t="shared" si="56"/>
        <v>43482</v>
      </c>
      <c r="AH372">
        <v>461</v>
      </c>
      <c r="AK372" s="36" t="str">
        <f t="shared" si="57"/>
        <v/>
      </c>
      <c r="AL372">
        <f t="shared" si="58"/>
        <v>21</v>
      </c>
      <c r="AM372">
        <v>21</v>
      </c>
      <c r="AN372">
        <f t="shared" si="59"/>
        <v>16</v>
      </c>
      <c r="AO372" t="str">
        <f t="shared" si="53"/>
        <v>1.1.---1.1.---17.1.</v>
      </c>
      <c r="AP372" t="str">
        <f t="shared" si="60"/>
        <v>Tundraurpiainen</v>
      </c>
      <c r="AQ372" t="str">
        <f t="shared" si="61"/>
        <v>(1.1.---1.1.---17.1., 21/21)</v>
      </c>
    </row>
    <row r="373" spans="1:43" x14ac:dyDescent="0.2">
      <c r="A373" s="1"/>
      <c r="B373" s="9">
        <f t="shared" si="52"/>
        <v>367</v>
      </c>
      <c r="C373" s="10"/>
      <c r="D373" s="9" t="s">
        <v>363</v>
      </c>
      <c r="E373" s="10"/>
      <c r="F373" s="11">
        <v>43549</v>
      </c>
      <c r="G373" s="12">
        <v>43485</v>
      </c>
      <c r="H373" s="11">
        <v>43612</v>
      </c>
      <c r="I373" s="12">
        <v>43466</v>
      </c>
      <c r="J373" s="11">
        <v>43476</v>
      </c>
      <c r="K373" s="12">
        <v>43466</v>
      </c>
      <c r="L373" s="11">
        <v>43494</v>
      </c>
      <c r="M373" s="12">
        <v>43471</v>
      </c>
      <c r="N373" s="11">
        <v>43589</v>
      </c>
      <c r="O373" s="12">
        <v>43466</v>
      </c>
      <c r="P373" s="11">
        <v>43556</v>
      </c>
      <c r="Q373" s="12">
        <v>43472</v>
      </c>
      <c r="R373" s="11">
        <v>43467</v>
      </c>
      <c r="S373" s="12">
        <v>43478</v>
      </c>
      <c r="T373" s="11">
        <v>43572</v>
      </c>
      <c r="U373" s="12">
        <v>43495</v>
      </c>
      <c r="V373" s="11">
        <v>43480</v>
      </c>
      <c r="W373" s="12">
        <v>43521</v>
      </c>
      <c r="X373" s="11">
        <v>43473</v>
      </c>
      <c r="Y373" s="12">
        <v>43467</v>
      </c>
      <c r="Z373" s="11">
        <v>43472</v>
      </c>
      <c r="AA373" s="12">
        <v>43473</v>
      </c>
      <c r="AB373" s="11">
        <v>43466</v>
      </c>
      <c r="AC373" s="12">
        <v>43514</v>
      </c>
      <c r="AD373" s="34"/>
      <c r="AE373" s="33">
        <f t="shared" si="54"/>
        <v>43466</v>
      </c>
      <c r="AF373" s="33">
        <f t="shared" si="55"/>
        <v>43478</v>
      </c>
      <c r="AG373" s="33">
        <f t="shared" si="56"/>
        <v>43612</v>
      </c>
      <c r="AH373">
        <v>462</v>
      </c>
      <c r="AK373" s="36" t="str">
        <f t="shared" si="57"/>
        <v/>
      </c>
      <c r="AL373">
        <f t="shared" si="58"/>
        <v>16</v>
      </c>
      <c r="AM373">
        <v>16</v>
      </c>
      <c r="AN373">
        <f t="shared" si="59"/>
        <v>146</v>
      </c>
      <c r="AO373" t="str">
        <f t="shared" si="53"/>
        <v>1.1.---13.1.---27.5.</v>
      </c>
      <c r="AP373" t="str">
        <f t="shared" si="60"/>
        <v>Kirjosiipikäpylintu</v>
      </c>
      <c r="AQ373" t="str">
        <f t="shared" si="61"/>
        <v>(1.1.---13.1.---27.5., 16/21)</v>
      </c>
    </row>
    <row r="374" spans="1:43" x14ac:dyDescent="0.2">
      <c r="A374" s="1"/>
      <c r="B374" s="9">
        <f t="shared" si="52"/>
        <v>368</v>
      </c>
      <c r="C374" s="10"/>
      <c r="D374" s="9" t="s">
        <v>364</v>
      </c>
      <c r="E374" s="10"/>
      <c r="F374" s="11">
        <v>43469</v>
      </c>
      <c r="G374" s="12">
        <v>43485</v>
      </c>
      <c r="H374" s="11">
        <v>43466</v>
      </c>
      <c r="I374" s="12">
        <v>43466</v>
      </c>
      <c r="J374" s="11">
        <v>43472</v>
      </c>
      <c r="K374" s="12">
        <v>43466</v>
      </c>
      <c r="L374" s="11">
        <v>43478</v>
      </c>
      <c r="M374" s="12">
        <v>43466</v>
      </c>
      <c r="N374" s="11">
        <v>43479</v>
      </c>
      <c r="O374" s="12">
        <v>43466</v>
      </c>
      <c r="P374" s="11">
        <v>43475</v>
      </c>
      <c r="Q374" s="12">
        <v>43466</v>
      </c>
      <c r="R374" s="11">
        <v>43467</v>
      </c>
      <c r="S374" s="12">
        <v>43466</v>
      </c>
      <c r="T374" s="11">
        <v>43469</v>
      </c>
      <c r="U374" s="12">
        <v>43478</v>
      </c>
      <c r="V374" s="11">
        <v>43474</v>
      </c>
      <c r="W374" s="12">
        <v>43467</v>
      </c>
      <c r="X374" s="11">
        <v>43474</v>
      </c>
      <c r="Y374" s="12">
        <v>43466</v>
      </c>
      <c r="Z374" s="11">
        <v>43475</v>
      </c>
      <c r="AA374" s="12">
        <v>43466</v>
      </c>
      <c r="AB374" s="11">
        <v>43466</v>
      </c>
      <c r="AC374" s="12">
        <v>43471</v>
      </c>
      <c r="AD374" s="34"/>
      <c r="AE374" s="33">
        <f t="shared" si="54"/>
        <v>43466</v>
      </c>
      <c r="AF374" s="33">
        <f t="shared" si="55"/>
        <v>43469</v>
      </c>
      <c r="AG374" s="33">
        <f t="shared" si="56"/>
        <v>43485</v>
      </c>
      <c r="AH374">
        <v>463</v>
      </c>
      <c r="AK374" s="36" t="str">
        <f t="shared" si="57"/>
        <v/>
      </c>
      <c r="AL374">
        <f t="shared" si="58"/>
        <v>21</v>
      </c>
      <c r="AM374">
        <v>21</v>
      </c>
      <c r="AN374">
        <f t="shared" si="59"/>
        <v>19</v>
      </c>
      <c r="AO374" t="str">
        <f t="shared" si="53"/>
        <v>1.1.---4.1.---20.1.</v>
      </c>
      <c r="AP374" t="str">
        <f t="shared" si="60"/>
        <v>Pikkukäpylintu</v>
      </c>
      <c r="AQ374" t="str">
        <f t="shared" si="61"/>
        <v>(1.1.---4.1.---20.1., 21/21)</v>
      </c>
    </row>
    <row r="375" spans="1:43" x14ac:dyDescent="0.2">
      <c r="A375" s="1"/>
      <c r="B375" s="9">
        <f t="shared" si="52"/>
        <v>369</v>
      </c>
      <c r="C375" s="10"/>
      <c r="D375" s="9" t="s">
        <v>365</v>
      </c>
      <c r="E375" s="10"/>
      <c r="F375" s="11">
        <v>43470</v>
      </c>
      <c r="G375" s="12">
        <v>43476</v>
      </c>
      <c r="H375" s="11">
        <v>43482</v>
      </c>
      <c r="I375" s="12">
        <v>43466</v>
      </c>
      <c r="J375" s="11">
        <v>43473</v>
      </c>
      <c r="K375" s="12">
        <v>43467</v>
      </c>
      <c r="L375" s="11">
        <v>43535</v>
      </c>
      <c r="M375" s="12">
        <v>43471</v>
      </c>
      <c r="N375" s="11">
        <v>43483</v>
      </c>
      <c r="O375" s="12">
        <v>43467</v>
      </c>
      <c r="P375" s="11">
        <v>43496</v>
      </c>
      <c r="Q375" s="12">
        <v>43466</v>
      </c>
      <c r="R375" s="11">
        <v>43523</v>
      </c>
      <c r="S375" s="12">
        <v>43468</v>
      </c>
      <c r="T375" s="11">
        <v>43466</v>
      </c>
      <c r="U375" s="12">
        <v>43512</v>
      </c>
      <c r="V375" s="11">
        <v>43536</v>
      </c>
      <c r="W375" s="12">
        <v>43466</v>
      </c>
      <c r="X375" s="11">
        <v>43501</v>
      </c>
      <c r="Y375" s="12">
        <v>43466</v>
      </c>
      <c r="Z375" s="11">
        <v>43521</v>
      </c>
      <c r="AA375" s="12">
        <v>43466</v>
      </c>
      <c r="AB375" s="11">
        <v>43466</v>
      </c>
      <c r="AC375" s="12">
        <v>43469</v>
      </c>
      <c r="AD375" s="34"/>
      <c r="AE375" s="33">
        <f t="shared" si="54"/>
        <v>43466</v>
      </c>
      <c r="AF375" s="33">
        <f t="shared" si="55"/>
        <v>43473</v>
      </c>
      <c r="AG375" s="33">
        <f t="shared" si="56"/>
        <v>43536</v>
      </c>
      <c r="AH375">
        <v>464</v>
      </c>
      <c r="AK375" s="36" t="str">
        <f t="shared" si="57"/>
        <v/>
      </c>
      <c r="AL375">
        <f t="shared" si="58"/>
        <v>19</v>
      </c>
      <c r="AM375">
        <v>19</v>
      </c>
      <c r="AN375">
        <f t="shared" si="59"/>
        <v>70</v>
      </c>
      <c r="AO375" t="str">
        <f t="shared" si="53"/>
        <v>1.1.---8.1.---12.3.</v>
      </c>
      <c r="AP375" t="str">
        <f t="shared" si="60"/>
        <v>Isokäpylintu</v>
      </c>
      <c r="AQ375" t="str">
        <f t="shared" si="61"/>
        <v>(1.1.---8.1.---12.3., 19/21)</v>
      </c>
    </row>
    <row r="376" spans="1:43" x14ac:dyDescent="0.2">
      <c r="A376" s="1"/>
      <c r="B376" s="9">
        <f t="shared" si="52"/>
        <v>370</v>
      </c>
      <c r="C376" s="10"/>
      <c r="D376" s="9" t="s">
        <v>366</v>
      </c>
      <c r="E376" s="10"/>
      <c r="F376" s="11">
        <v>43597</v>
      </c>
      <c r="G376" s="12">
        <v>43602</v>
      </c>
      <c r="H376" s="11">
        <v>43593</v>
      </c>
      <c r="I376" s="12">
        <v>43602</v>
      </c>
      <c r="J376" s="11">
        <v>43602</v>
      </c>
      <c r="K376" s="12">
        <v>43601</v>
      </c>
      <c r="L376" s="11">
        <v>43599</v>
      </c>
      <c r="M376" s="12">
        <v>43604</v>
      </c>
      <c r="N376" s="11">
        <v>43603</v>
      </c>
      <c r="O376" s="12">
        <v>43600</v>
      </c>
      <c r="P376" s="11">
        <v>43596</v>
      </c>
      <c r="Q376" s="12">
        <v>43599</v>
      </c>
      <c r="R376" s="11">
        <v>43600</v>
      </c>
      <c r="S376" s="12">
        <v>43590</v>
      </c>
      <c r="T376" s="11">
        <v>43602</v>
      </c>
      <c r="U376" s="12">
        <f>IF(AG1,DATE(2019,3,5),DATE(2019,5,7))</f>
        <v>43592</v>
      </c>
      <c r="V376" s="11">
        <v>43599</v>
      </c>
      <c r="W376" s="12">
        <v>43604</v>
      </c>
      <c r="X376" s="11">
        <v>43596</v>
      </c>
      <c r="Y376" s="12">
        <v>43597</v>
      </c>
      <c r="Z376" s="11">
        <v>43594</v>
      </c>
      <c r="AA376" s="12">
        <v>43595</v>
      </c>
      <c r="AB376" s="11">
        <v>43590</v>
      </c>
      <c r="AC376" s="12">
        <v>43595</v>
      </c>
      <c r="AD376" s="34"/>
      <c r="AE376" s="33">
        <f t="shared" si="54"/>
        <v>43590</v>
      </c>
      <c r="AF376" s="33">
        <f t="shared" si="55"/>
        <v>43599</v>
      </c>
      <c r="AG376" s="33">
        <f t="shared" si="56"/>
        <v>43604</v>
      </c>
      <c r="AH376">
        <v>466</v>
      </c>
      <c r="AK376" s="36" t="str">
        <f t="shared" si="57"/>
        <v/>
      </c>
      <c r="AL376" t="str">
        <f t="shared" si="58"/>
        <v/>
      </c>
      <c r="AM376" t="s">
        <v>393</v>
      </c>
      <c r="AN376">
        <f t="shared" si="59"/>
        <v>14</v>
      </c>
      <c r="AO376" t="str">
        <f t="shared" si="53"/>
        <v>5.5.---14.5.---19.5.</v>
      </c>
      <c r="AP376" t="str">
        <f t="shared" si="60"/>
        <v>Punavarpunen</v>
      </c>
      <c r="AQ376" t="str">
        <f t="shared" si="61"/>
        <v>(5.5.---14.5.---19.5.)</v>
      </c>
    </row>
    <row r="377" spans="1:43" x14ac:dyDescent="0.2">
      <c r="A377" s="1"/>
      <c r="B377" s="9">
        <f t="shared" si="52"/>
        <v>371</v>
      </c>
      <c r="C377" s="10"/>
      <c r="D377" s="9" t="s">
        <v>367</v>
      </c>
      <c r="E377" s="10"/>
      <c r="F377" s="11">
        <v>43466</v>
      </c>
      <c r="G377" s="12">
        <v>43466</v>
      </c>
      <c r="H377" s="11">
        <v>43466</v>
      </c>
      <c r="I377" s="12">
        <v>43466</v>
      </c>
      <c r="J377" s="11">
        <v>43482</v>
      </c>
      <c r="K377" s="12">
        <v>43467</v>
      </c>
      <c r="L377" s="11">
        <v>43469</v>
      </c>
      <c r="M377" s="12">
        <v>43466</v>
      </c>
      <c r="N377" s="11">
        <v>43485</v>
      </c>
      <c r="O377" s="12">
        <v>43466</v>
      </c>
      <c r="P377" s="11">
        <v>43466</v>
      </c>
      <c r="Q377" s="12">
        <v>43466</v>
      </c>
      <c r="R377" s="11">
        <v>43466</v>
      </c>
      <c r="S377" s="12">
        <v>43466</v>
      </c>
      <c r="T377" s="11">
        <v>43471</v>
      </c>
      <c r="U377" s="12">
        <v>43466</v>
      </c>
      <c r="V377" s="11">
        <v>43476</v>
      </c>
      <c r="W377" s="12">
        <v>43472</v>
      </c>
      <c r="X377" s="11">
        <v>43466</v>
      </c>
      <c r="Y377" s="12">
        <v>43479</v>
      </c>
      <c r="Z377" s="11">
        <v>43466</v>
      </c>
      <c r="AA377" s="12">
        <v>43467</v>
      </c>
      <c r="AB377" s="11">
        <v>43466</v>
      </c>
      <c r="AC377" s="12">
        <v>43466</v>
      </c>
      <c r="AD377" s="34"/>
      <c r="AE377" s="33">
        <f t="shared" si="54"/>
        <v>43466</v>
      </c>
      <c r="AF377" s="33">
        <f t="shared" si="55"/>
        <v>43466</v>
      </c>
      <c r="AG377" s="33">
        <f t="shared" si="56"/>
        <v>43485</v>
      </c>
      <c r="AH377">
        <v>467</v>
      </c>
      <c r="AK377" s="36" t="str">
        <f t="shared" si="57"/>
        <v/>
      </c>
      <c r="AL377">
        <f t="shared" si="58"/>
        <v>21</v>
      </c>
      <c r="AM377">
        <v>21</v>
      </c>
      <c r="AN377">
        <f t="shared" si="59"/>
        <v>19</v>
      </c>
      <c r="AO377" t="str">
        <f t="shared" si="53"/>
        <v>1.1.---1.1.---20.1.</v>
      </c>
      <c r="AP377" t="str">
        <f t="shared" si="60"/>
        <v>Taviokuurna</v>
      </c>
      <c r="AQ377" t="str">
        <f t="shared" si="61"/>
        <v>(1.1.---1.1.---20.1., 21/21)</v>
      </c>
    </row>
    <row r="378" spans="1:43" x14ac:dyDescent="0.2">
      <c r="A378" s="1"/>
      <c r="B378" s="9">
        <f t="shared" si="52"/>
        <v>372</v>
      </c>
      <c r="C378" s="10"/>
      <c r="D378" s="9" t="s">
        <v>368</v>
      </c>
      <c r="E378" s="10"/>
      <c r="F378" s="11"/>
      <c r="G378" s="12"/>
      <c r="H378" s="11"/>
      <c r="I378" s="12">
        <v>43466</v>
      </c>
      <c r="J378" s="11">
        <v>43466</v>
      </c>
      <c r="K378" s="12">
        <v>43466</v>
      </c>
      <c r="L378" s="11">
        <v>43466</v>
      </c>
      <c r="M378" s="12">
        <v>43466</v>
      </c>
      <c r="N378" s="11">
        <v>43466</v>
      </c>
      <c r="O378" s="12">
        <v>43466</v>
      </c>
      <c r="P378" s="11">
        <v>43466</v>
      </c>
      <c r="Q378" s="12">
        <v>43466</v>
      </c>
      <c r="R378" s="11">
        <v>43466</v>
      </c>
      <c r="S378" s="12">
        <v>43466</v>
      </c>
      <c r="T378" s="11">
        <v>43466</v>
      </c>
      <c r="U378" s="12">
        <v>43466</v>
      </c>
      <c r="V378" s="11">
        <v>43466</v>
      </c>
      <c r="W378" s="12">
        <v>43466</v>
      </c>
      <c r="X378" s="11">
        <v>43466</v>
      </c>
      <c r="Y378" s="12">
        <v>43466</v>
      </c>
      <c r="Z378" s="11">
        <v>43466</v>
      </c>
      <c r="AA378" s="12">
        <v>43466</v>
      </c>
      <c r="AB378" s="11">
        <v>43466</v>
      </c>
      <c r="AC378" s="12">
        <v>43466</v>
      </c>
      <c r="AD378" s="34"/>
      <c r="AE378" s="33">
        <f t="shared" si="54"/>
        <v>43466</v>
      </c>
      <c r="AF378" s="33">
        <f t="shared" si="55"/>
        <v>43466</v>
      </c>
      <c r="AG378" s="33">
        <f t="shared" si="56"/>
        <v>43466</v>
      </c>
      <c r="AH378">
        <v>468</v>
      </c>
      <c r="AK378" s="36" t="str">
        <f t="shared" si="57"/>
        <v/>
      </c>
      <c r="AL378">
        <f t="shared" si="58"/>
        <v>18</v>
      </c>
      <c r="AM378">
        <v>18</v>
      </c>
      <c r="AN378">
        <f t="shared" si="59"/>
        <v>0</v>
      </c>
      <c r="AO378" t="str">
        <f t="shared" si="53"/>
        <v>1.1.---1.1.---1.1.</v>
      </c>
      <c r="AP378" t="str">
        <f t="shared" si="60"/>
        <v>Punatulkku</v>
      </c>
      <c r="AQ378" t="str">
        <f t="shared" si="61"/>
        <v>(1.1.---1.1.---1.1., 18/21)</v>
      </c>
    </row>
    <row r="379" spans="1:43" x14ac:dyDescent="0.2">
      <c r="A379" s="1"/>
      <c r="B379" s="9">
        <f t="shared" si="52"/>
        <v>373</v>
      </c>
      <c r="C379" s="10"/>
      <c r="D379" s="9" t="s">
        <v>369</v>
      </c>
      <c r="E379" s="10"/>
      <c r="F379" s="11">
        <v>43581</v>
      </c>
      <c r="G379" s="12">
        <v>43466</v>
      </c>
      <c r="H379" s="11">
        <v>43486</v>
      </c>
      <c r="I379" s="12">
        <v>43517</v>
      </c>
      <c r="J379" s="11">
        <v>43481</v>
      </c>
      <c r="K379" s="12">
        <v>43466</v>
      </c>
      <c r="L379" s="11">
        <v>43469</v>
      </c>
      <c r="M379" s="12">
        <v>43466</v>
      </c>
      <c r="N379" s="11">
        <v>43574</v>
      </c>
      <c r="O379" s="12">
        <v>43466</v>
      </c>
      <c r="P379" s="11">
        <v>43471</v>
      </c>
      <c r="Q379" s="12">
        <v>43466</v>
      </c>
      <c r="R379" s="11">
        <v>43466</v>
      </c>
      <c r="S379" s="12">
        <v>43469</v>
      </c>
      <c r="T379" s="11">
        <v>43466</v>
      </c>
      <c r="U379" s="12">
        <v>43470</v>
      </c>
      <c r="V379" s="11">
        <v>43471</v>
      </c>
      <c r="W379" s="12">
        <v>43563</v>
      </c>
      <c r="X379" s="11">
        <v>43466</v>
      </c>
      <c r="Y379" s="12">
        <v>43557</v>
      </c>
      <c r="Z379" s="11">
        <v>43571</v>
      </c>
      <c r="AA379" s="12">
        <v>43475</v>
      </c>
      <c r="AB379" s="11">
        <v>43569</v>
      </c>
      <c r="AC379" s="12">
        <v>43477</v>
      </c>
      <c r="AD379" s="34"/>
      <c r="AE379" s="33">
        <f t="shared" si="54"/>
        <v>43466</v>
      </c>
      <c r="AF379" s="33">
        <f t="shared" si="55"/>
        <v>43470</v>
      </c>
      <c r="AG379" s="33">
        <f t="shared" si="56"/>
        <v>43581</v>
      </c>
      <c r="AH379">
        <v>469</v>
      </c>
      <c r="AK379" s="36" t="str">
        <f t="shared" si="57"/>
        <v/>
      </c>
      <c r="AL379">
        <f t="shared" si="58"/>
        <v>16</v>
      </c>
      <c r="AM379">
        <v>16</v>
      </c>
      <c r="AN379">
        <f t="shared" si="59"/>
        <v>115</v>
      </c>
      <c r="AO379" t="str">
        <f t="shared" si="53"/>
        <v>1.1.---5.1.---26.4.</v>
      </c>
      <c r="AP379" t="str">
        <f t="shared" si="60"/>
        <v>Nokkavarpunen</v>
      </c>
      <c r="AQ379" t="str">
        <f t="shared" si="61"/>
        <v>(1.1.---5.1.---26.4., 16/21)</v>
      </c>
    </row>
    <row r="380" spans="1:43" x14ac:dyDescent="0.2">
      <c r="A380" s="1"/>
      <c r="B380" s="9">
        <f t="shared" si="52"/>
        <v>374</v>
      </c>
      <c r="C380" s="10"/>
      <c r="D380" s="9" t="s">
        <v>370</v>
      </c>
      <c r="E380" s="10"/>
      <c r="F380" s="11">
        <v>43569</v>
      </c>
      <c r="G380" s="12">
        <v>43562</v>
      </c>
      <c r="H380" s="11">
        <v>43554</v>
      </c>
      <c r="I380" s="12">
        <v>43570</v>
      </c>
      <c r="J380" s="11">
        <v>43560</v>
      </c>
      <c r="K380" s="12">
        <v>43559</v>
      </c>
      <c r="L380" s="11">
        <v>43568</v>
      </c>
      <c r="M380" s="12">
        <v>43550</v>
      </c>
      <c r="N380" s="11">
        <v>43555</v>
      </c>
      <c r="O380" s="12">
        <v>43564</v>
      </c>
      <c r="P380" s="11">
        <v>43566</v>
      </c>
      <c r="Q380" s="12">
        <v>43567</v>
      </c>
      <c r="R380" s="11">
        <v>43568</v>
      </c>
      <c r="S380" s="12">
        <v>43567</v>
      </c>
      <c r="T380" s="11">
        <v>43555</v>
      </c>
      <c r="U380" s="12">
        <v>43560</v>
      </c>
      <c r="V380" s="11">
        <v>43556</v>
      </c>
      <c r="W380" s="12">
        <v>43560</v>
      </c>
      <c r="X380" s="11">
        <v>43568</v>
      </c>
      <c r="Y380" s="12">
        <v>43555</v>
      </c>
      <c r="Z380" s="11">
        <v>43546</v>
      </c>
      <c r="AA380" s="12">
        <v>43560</v>
      </c>
      <c r="AB380" s="11">
        <v>43570</v>
      </c>
      <c r="AC380" s="12">
        <v>43552</v>
      </c>
      <c r="AD380" s="34"/>
      <c r="AE380" s="33">
        <f t="shared" si="54"/>
        <v>43546</v>
      </c>
      <c r="AF380" s="33">
        <f t="shared" si="55"/>
        <v>43560</v>
      </c>
      <c r="AG380" s="33">
        <f t="shared" si="56"/>
        <v>43570</v>
      </c>
      <c r="AH380">
        <v>473</v>
      </c>
      <c r="AK380" s="36" t="str">
        <f t="shared" si="57"/>
        <v/>
      </c>
      <c r="AL380" t="str">
        <f t="shared" si="58"/>
        <v/>
      </c>
      <c r="AM380" t="s">
        <v>393</v>
      </c>
      <c r="AN380">
        <f t="shared" si="59"/>
        <v>24</v>
      </c>
      <c r="AO380" t="str">
        <f t="shared" si="53"/>
        <v>22.3.---5.4.---15.4.</v>
      </c>
      <c r="AP380" t="str">
        <f t="shared" si="60"/>
        <v>Lapinsirkku</v>
      </c>
      <c r="AQ380" t="str">
        <f t="shared" si="61"/>
        <v>(22.3.---5.4.---15.4.)</v>
      </c>
    </row>
    <row r="381" spans="1:43" x14ac:dyDescent="0.2">
      <c r="A381" s="1"/>
      <c r="B381" s="9">
        <f t="shared" si="52"/>
        <v>375</v>
      </c>
      <c r="C381" s="10"/>
      <c r="D381" s="9" t="s">
        <v>371</v>
      </c>
      <c r="E381" s="10"/>
      <c r="F381" s="11">
        <f>IF(AG1,DATE(2019,1,7),DATE(2019,3,19))</f>
        <v>43543</v>
      </c>
      <c r="G381" s="12">
        <f>IF(AG1,DATE(2019,1,6),DATE(2019,3,21))</f>
        <v>43545</v>
      </c>
      <c r="H381" s="11">
        <f>IF(AG1,DATE(2019,1,6),DATE(2019,3,15))</f>
        <v>43539</v>
      </c>
      <c r="I381" s="12">
        <f>IF(AG1,DATE(2019,1,1),DATE(2019,3,27))</f>
        <v>43551</v>
      </c>
      <c r="J381" s="11">
        <f>IF(AG1,DATE(2019,1,2),DATE(2019,3,9))</f>
        <v>43533</v>
      </c>
      <c r="K381" s="12">
        <v>43471</v>
      </c>
      <c r="L381" s="11">
        <v>43466</v>
      </c>
      <c r="M381" s="12">
        <v>43471</v>
      </c>
      <c r="N381" s="11">
        <v>43467</v>
      </c>
      <c r="O381" s="12">
        <v>43466</v>
      </c>
      <c r="P381" s="11">
        <v>43466</v>
      </c>
      <c r="Q381" s="12">
        <f>IF(AG1,DATE(2019,1,5),DATE(2019,2,25))</f>
        <v>43521</v>
      </c>
      <c r="R381" s="11">
        <v>43467</v>
      </c>
      <c r="S381" s="12">
        <v>43469</v>
      </c>
      <c r="T381" s="11">
        <v>43466</v>
      </c>
      <c r="U381" s="12">
        <v>43469</v>
      </c>
      <c r="V381" s="11">
        <v>43468</v>
      </c>
      <c r="W381" s="12">
        <v>43482</v>
      </c>
      <c r="X381" s="11">
        <f>IF(AG1,DATE(2019,1,7),DATE(2019,3,2))</f>
        <v>43526</v>
      </c>
      <c r="Y381" s="12">
        <v>43467</v>
      </c>
      <c r="Z381" s="11">
        <v>43466</v>
      </c>
      <c r="AA381" s="12">
        <v>43467</v>
      </c>
      <c r="AB381" s="11">
        <v>43467</v>
      </c>
      <c r="AC381" s="12">
        <v>43467</v>
      </c>
      <c r="AD381" s="34"/>
      <c r="AE381" s="33">
        <f t="shared" si="54"/>
        <v>43466</v>
      </c>
      <c r="AF381" s="33">
        <f t="shared" si="55"/>
        <v>43469</v>
      </c>
      <c r="AG381" s="33">
        <f t="shared" si="56"/>
        <v>43551</v>
      </c>
      <c r="AH381">
        <v>474</v>
      </c>
      <c r="AK381" s="36" t="str">
        <f t="shared" si="57"/>
        <v/>
      </c>
      <c r="AL381">
        <f t="shared" si="58"/>
        <v>15</v>
      </c>
      <c r="AM381">
        <v>21</v>
      </c>
      <c r="AN381">
        <f t="shared" si="59"/>
        <v>85</v>
      </c>
      <c r="AO381" t="str">
        <f t="shared" si="53"/>
        <v>1.1.---4.1.---27.3.</v>
      </c>
      <c r="AP381" t="str">
        <f t="shared" si="60"/>
        <v>Pulmunen</v>
      </c>
      <c r="AQ381" t="str">
        <f t="shared" si="61"/>
        <v>(1.1.---4.1.---27.3., 21/21)</v>
      </c>
    </row>
    <row r="382" spans="1:43" x14ac:dyDescent="0.2">
      <c r="A382" s="1"/>
      <c r="B382" s="9">
        <f t="shared" ref="B382:B389" si="62">B381+1</f>
        <v>376</v>
      </c>
      <c r="C382" s="10"/>
      <c r="D382" s="15" t="s">
        <v>372</v>
      </c>
      <c r="E382" s="16"/>
      <c r="F382" s="11"/>
      <c r="G382" s="12"/>
      <c r="H382" s="11"/>
      <c r="I382" s="12"/>
      <c r="J382" s="11"/>
      <c r="K382" s="12"/>
      <c r="L382" s="11"/>
      <c r="M382" s="12"/>
      <c r="N382" s="11"/>
      <c r="O382" s="12"/>
      <c r="P382" s="11"/>
      <c r="Q382" s="12"/>
      <c r="R382" s="11"/>
      <c r="S382" s="12"/>
      <c r="T382" s="11"/>
      <c r="U382" s="12"/>
      <c r="V382" s="11"/>
      <c r="W382" s="12">
        <v>43577</v>
      </c>
      <c r="X382" s="11"/>
      <c r="Y382" s="12"/>
      <c r="Z382" s="11"/>
      <c r="AA382" s="12"/>
      <c r="AB382" s="11"/>
      <c r="AC382" s="12"/>
      <c r="AD382" s="34"/>
      <c r="AE382" s="33">
        <f t="shared" si="54"/>
        <v>43577</v>
      </c>
      <c r="AF382" s="33">
        <f t="shared" si="55"/>
        <v>43577</v>
      </c>
      <c r="AG382" s="33">
        <f t="shared" si="56"/>
        <v>43577</v>
      </c>
      <c r="AH382">
        <v>476</v>
      </c>
      <c r="AK382" s="36" t="str">
        <f t="shared" si="57"/>
        <v/>
      </c>
      <c r="AL382" t="str">
        <f t="shared" si="58"/>
        <v/>
      </c>
      <c r="AM382" t="s">
        <v>393</v>
      </c>
      <c r="AN382">
        <f t="shared" si="59"/>
        <v>0</v>
      </c>
      <c r="AO382" t="str">
        <f t="shared" si="53"/>
        <v>22.4.---22.4.---22.4.</v>
      </c>
      <c r="AP382" t="str">
        <f t="shared" si="60"/>
        <v>Mäntysirkku</v>
      </c>
      <c r="AQ382" t="str">
        <f t="shared" si="61"/>
        <v>(22.4.---22.4.---22.4.)</v>
      </c>
    </row>
    <row r="383" spans="1:43" x14ac:dyDescent="0.2">
      <c r="A383" s="1"/>
      <c r="B383" s="9">
        <f t="shared" si="62"/>
        <v>377</v>
      </c>
      <c r="C383" s="10"/>
      <c r="D383" s="9" t="s">
        <v>373</v>
      </c>
      <c r="E383" s="10"/>
      <c r="F383" s="11"/>
      <c r="G383" s="12"/>
      <c r="H383" s="11"/>
      <c r="I383" s="12">
        <v>43466</v>
      </c>
      <c r="J383" s="11">
        <v>43466</v>
      </c>
      <c r="K383" s="12">
        <v>43466</v>
      </c>
      <c r="L383" s="11">
        <v>43466</v>
      </c>
      <c r="M383" s="12">
        <v>43466</v>
      </c>
      <c r="N383" s="11">
        <v>43466</v>
      </c>
      <c r="O383" s="12">
        <v>43466</v>
      </c>
      <c r="P383" s="11">
        <v>43466</v>
      </c>
      <c r="Q383" s="12">
        <v>43466</v>
      </c>
      <c r="R383" s="11">
        <v>43466</v>
      </c>
      <c r="S383" s="12">
        <v>43466</v>
      </c>
      <c r="T383" s="11">
        <v>43466</v>
      </c>
      <c r="U383" s="12">
        <v>43466</v>
      </c>
      <c r="V383" s="11">
        <v>43466</v>
      </c>
      <c r="W383" s="12">
        <v>43466</v>
      </c>
      <c r="X383" s="11">
        <v>43466</v>
      </c>
      <c r="Y383" s="12">
        <v>43466</v>
      </c>
      <c r="Z383" s="11">
        <v>43466</v>
      </c>
      <c r="AA383" s="12">
        <v>43466</v>
      </c>
      <c r="AB383" s="11">
        <v>43466</v>
      </c>
      <c r="AC383" s="12">
        <v>43466</v>
      </c>
      <c r="AD383" s="34"/>
      <c r="AE383" s="33">
        <f t="shared" si="54"/>
        <v>43466</v>
      </c>
      <c r="AF383" s="33">
        <f t="shared" si="55"/>
        <v>43466</v>
      </c>
      <c r="AG383" s="33">
        <f t="shared" si="56"/>
        <v>43466</v>
      </c>
      <c r="AH383">
        <v>477</v>
      </c>
      <c r="AK383" s="36" t="str">
        <f t="shared" si="57"/>
        <v/>
      </c>
      <c r="AL383">
        <f t="shared" si="58"/>
        <v>18</v>
      </c>
      <c r="AM383">
        <v>18</v>
      </c>
      <c r="AN383">
        <f t="shared" si="59"/>
        <v>0</v>
      </c>
      <c r="AO383" t="str">
        <f t="shared" si="53"/>
        <v>1.1.---1.1.---1.1.</v>
      </c>
      <c r="AP383" t="str">
        <f t="shared" si="60"/>
        <v>Keltasirkku</v>
      </c>
      <c r="AQ383" t="str">
        <f t="shared" si="61"/>
        <v>(1.1.---1.1.---1.1., 18/21)</v>
      </c>
    </row>
    <row r="384" spans="1:43" x14ac:dyDescent="0.2">
      <c r="A384" s="1"/>
      <c r="B384" s="9">
        <f t="shared" si="62"/>
        <v>378</v>
      </c>
      <c r="C384" s="10"/>
      <c r="D384" s="9" t="s">
        <v>374</v>
      </c>
      <c r="E384" s="10"/>
      <c r="F384" s="11">
        <v>43583</v>
      </c>
      <c r="G384" s="12">
        <v>43590</v>
      </c>
      <c r="H384" s="11">
        <v>43585</v>
      </c>
      <c r="I384" s="12">
        <v>43589</v>
      </c>
      <c r="J384" s="11">
        <v>43590</v>
      </c>
      <c r="K384" s="12">
        <v>43586</v>
      </c>
      <c r="L384" s="11">
        <v>43585</v>
      </c>
      <c r="M384" s="12">
        <v>43590</v>
      </c>
      <c r="N384" s="11">
        <v>43586</v>
      </c>
      <c r="O384" s="12">
        <v>43587</v>
      </c>
      <c r="P384" s="11">
        <v>43590</v>
      </c>
      <c r="Q384" s="12">
        <v>43585</v>
      </c>
      <c r="R384" s="11">
        <v>43585</v>
      </c>
      <c r="S384" s="12">
        <v>43582</v>
      </c>
      <c r="T384" s="11">
        <v>43594</v>
      </c>
      <c r="U384" s="12">
        <v>43589</v>
      </c>
      <c r="V384" s="11">
        <v>43585</v>
      </c>
      <c r="W384" s="12">
        <v>43592</v>
      </c>
      <c r="X384" s="11">
        <v>43591</v>
      </c>
      <c r="Y384" s="12">
        <v>43586</v>
      </c>
      <c r="Z384" s="11">
        <v>43586</v>
      </c>
      <c r="AA384" s="12">
        <v>43597</v>
      </c>
      <c r="AB384" s="11">
        <v>43589</v>
      </c>
      <c r="AC384" s="12">
        <v>43595</v>
      </c>
      <c r="AD384" s="34"/>
      <c r="AE384" s="33">
        <f t="shared" si="54"/>
        <v>43582</v>
      </c>
      <c r="AF384" s="33">
        <f t="shared" si="55"/>
        <v>43586</v>
      </c>
      <c r="AG384" s="33">
        <f t="shared" si="56"/>
        <v>43594</v>
      </c>
      <c r="AH384">
        <v>478</v>
      </c>
      <c r="AK384" s="36" t="str">
        <f t="shared" si="57"/>
        <v/>
      </c>
      <c r="AL384" t="str">
        <f t="shared" si="58"/>
        <v/>
      </c>
      <c r="AM384" t="s">
        <v>393</v>
      </c>
      <c r="AN384">
        <f t="shared" si="59"/>
        <v>12</v>
      </c>
      <c r="AO384" t="str">
        <f t="shared" si="53"/>
        <v>27.4.---1.5.---9.5.</v>
      </c>
      <c r="AP384" t="str">
        <f t="shared" si="60"/>
        <v>Peltosirkku</v>
      </c>
      <c r="AQ384" t="str">
        <f t="shared" si="61"/>
        <v>(27.4.---1.5.---9.5.)</v>
      </c>
    </row>
    <row r="385" spans="1:43" x14ac:dyDescent="0.2">
      <c r="A385" s="1"/>
      <c r="B385" s="9">
        <f t="shared" si="62"/>
        <v>379</v>
      </c>
      <c r="C385" s="10"/>
      <c r="D385" s="9" t="s">
        <v>375</v>
      </c>
      <c r="E385" s="10"/>
      <c r="F385" s="11">
        <v>43572</v>
      </c>
      <c r="G385" s="12">
        <v>43576</v>
      </c>
      <c r="H385" s="11">
        <v>43582</v>
      </c>
      <c r="I385" s="12">
        <v>43585</v>
      </c>
      <c r="J385" s="11">
        <v>43582</v>
      </c>
      <c r="K385" s="12">
        <v>43564</v>
      </c>
      <c r="L385" s="11">
        <v>43574</v>
      </c>
      <c r="M385" s="12">
        <v>43578</v>
      </c>
      <c r="N385" s="11">
        <v>43575</v>
      </c>
      <c r="O385" s="12">
        <v>43581</v>
      </c>
      <c r="P385" s="11">
        <v>43569</v>
      </c>
      <c r="Q385" s="12">
        <v>43570</v>
      </c>
      <c r="R385" s="11">
        <v>43578</v>
      </c>
      <c r="S385" s="12">
        <v>43577</v>
      </c>
      <c r="T385" s="11">
        <v>43575</v>
      </c>
      <c r="U385" s="12">
        <v>43570</v>
      </c>
      <c r="V385" s="11">
        <v>43573</v>
      </c>
      <c r="W385" s="12">
        <v>43584</v>
      </c>
      <c r="X385" s="11">
        <v>43574</v>
      </c>
      <c r="Y385" s="12">
        <v>43562</v>
      </c>
      <c r="Z385" s="11">
        <v>43566</v>
      </c>
      <c r="AA385" s="12">
        <v>43586</v>
      </c>
      <c r="AB385" s="11">
        <v>43574</v>
      </c>
      <c r="AC385" s="12">
        <v>43566</v>
      </c>
      <c r="AD385" s="34"/>
      <c r="AE385" s="33">
        <f t="shared" si="54"/>
        <v>43562</v>
      </c>
      <c r="AF385" s="33">
        <f t="shared" si="55"/>
        <v>43575</v>
      </c>
      <c r="AG385" s="33">
        <f t="shared" si="56"/>
        <v>43585</v>
      </c>
      <c r="AH385">
        <v>481</v>
      </c>
      <c r="AK385" s="36" t="str">
        <f t="shared" si="57"/>
        <v/>
      </c>
      <c r="AL385" t="str">
        <f t="shared" si="58"/>
        <v/>
      </c>
      <c r="AM385" t="s">
        <v>393</v>
      </c>
      <c r="AN385">
        <f t="shared" si="59"/>
        <v>23</v>
      </c>
      <c r="AO385" t="str">
        <f t="shared" si="53"/>
        <v>7.4.---20.4.---30.4.</v>
      </c>
      <c r="AP385" t="str">
        <f t="shared" si="60"/>
        <v>Pohjansirkku</v>
      </c>
      <c r="AQ385" t="str">
        <f t="shared" si="61"/>
        <v>(7.4.---20.4.---30.4.)</v>
      </c>
    </row>
    <row r="386" spans="1:43" x14ac:dyDescent="0.2">
      <c r="A386" s="1"/>
      <c r="B386" s="9">
        <f t="shared" si="62"/>
        <v>380</v>
      </c>
      <c r="C386" s="10"/>
      <c r="D386" s="9" t="s">
        <v>376</v>
      </c>
      <c r="E386" s="10"/>
      <c r="F386" s="11">
        <v>43611</v>
      </c>
      <c r="G386" s="12">
        <v>43605</v>
      </c>
      <c r="H386" s="11">
        <v>43617</v>
      </c>
      <c r="I386" s="12">
        <v>43610</v>
      </c>
      <c r="J386" s="11">
        <v>43599</v>
      </c>
      <c r="K386" s="12">
        <v>43608</v>
      </c>
      <c r="L386" s="11">
        <v>43620</v>
      </c>
      <c r="M386" s="12">
        <v>43633</v>
      </c>
      <c r="N386" s="11">
        <v>43614</v>
      </c>
      <c r="O386" s="12">
        <v>43591</v>
      </c>
      <c r="P386" s="11">
        <v>43596</v>
      </c>
      <c r="Q386" s="12">
        <v>43617</v>
      </c>
      <c r="R386" s="11">
        <v>43615</v>
      </c>
      <c r="S386" s="12">
        <v>43612</v>
      </c>
      <c r="T386" s="11">
        <v>43616</v>
      </c>
      <c r="U386" s="12">
        <v>43605</v>
      </c>
      <c r="V386" s="11">
        <v>43610</v>
      </c>
      <c r="W386" s="12">
        <v>43604</v>
      </c>
      <c r="X386" s="11">
        <f>IF(AG1,DATE(2019,2,7),DATE(2019,6,12))</f>
        <v>43628</v>
      </c>
      <c r="Y386" s="12">
        <v>43619</v>
      </c>
      <c r="Z386" s="11">
        <v>43600</v>
      </c>
      <c r="AA386" s="12">
        <v>43587</v>
      </c>
      <c r="AB386" s="11">
        <v>43624</v>
      </c>
      <c r="AC386" s="12">
        <v>43627</v>
      </c>
      <c r="AD386" s="34"/>
      <c r="AE386" s="33">
        <f t="shared" si="54"/>
        <v>43591</v>
      </c>
      <c r="AF386" s="33">
        <f t="shared" si="55"/>
        <v>43611</v>
      </c>
      <c r="AG386" s="33">
        <f t="shared" si="56"/>
        <v>43633</v>
      </c>
      <c r="AH386">
        <v>482</v>
      </c>
      <c r="AK386" s="36" t="str">
        <f t="shared" si="57"/>
        <v/>
      </c>
      <c r="AL386" t="str">
        <f t="shared" si="58"/>
        <v/>
      </c>
      <c r="AM386">
        <v>1</v>
      </c>
      <c r="AN386">
        <f t="shared" si="59"/>
        <v>42</v>
      </c>
      <c r="AO386" t="str">
        <f t="shared" si="53"/>
        <v>6.5.---26.5.---17.6.</v>
      </c>
      <c r="AP386" t="str">
        <f t="shared" si="60"/>
        <v>Pikkusirkku</v>
      </c>
      <c r="AQ386" t="str">
        <f t="shared" si="61"/>
        <v>(6.5.---26.5.---17.6., 1/21)</v>
      </c>
    </row>
    <row r="387" spans="1:43" x14ac:dyDescent="0.2">
      <c r="A387" s="1"/>
      <c r="B387" s="9">
        <f t="shared" si="62"/>
        <v>381</v>
      </c>
      <c r="C387" s="10"/>
      <c r="D387" s="15" t="s">
        <v>377</v>
      </c>
      <c r="E387" s="16"/>
      <c r="F387" s="11">
        <v>43616</v>
      </c>
      <c r="G387" s="12">
        <v>43622</v>
      </c>
      <c r="H387" s="11">
        <v>43623</v>
      </c>
      <c r="I387" s="12">
        <v>43629</v>
      </c>
      <c r="J387" s="11">
        <v>43659</v>
      </c>
      <c r="K387" s="12">
        <v>43632</v>
      </c>
      <c r="L387" s="11"/>
      <c r="M387" s="12"/>
      <c r="N387" s="11"/>
      <c r="O387" s="12"/>
      <c r="P387" s="11"/>
      <c r="Q387" s="12"/>
      <c r="R387" s="11"/>
      <c r="S387" s="12"/>
      <c r="T387" s="11"/>
      <c r="U387" s="12"/>
      <c r="V387" s="11"/>
      <c r="W387" s="12"/>
      <c r="X387" s="11"/>
      <c r="Y387" s="12">
        <v>43636</v>
      </c>
      <c r="Z387" s="11"/>
      <c r="AA387" s="12"/>
      <c r="AB387" s="11"/>
      <c r="AC387" s="12"/>
      <c r="AD387" s="34"/>
      <c r="AE387" s="33">
        <f t="shared" si="54"/>
        <v>43616</v>
      </c>
      <c r="AF387" s="33">
        <f t="shared" si="55"/>
        <v>43629</v>
      </c>
      <c r="AG387" s="33">
        <f t="shared" si="56"/>
        <v>43659</v>
      </c>
      <c r="AH387">
        <v>484</v>
      </c>
      <c r="AK387" s="36" t="str">
        <f t="shared" si="57"/>
        <v/>
      </c>
      <c r="AL387" t="str">
        <f t="shared" si="58"/>
        <v/>
      </c>
      <c r="AM387" t="s">
        <v>393</v>
      </c>
      <c r="AN387">
        <f t="shared" si="59"/>
        <v>43</v>
      </c>
      <c r="AO387" t="str">
        <f t="shared" si="53"/>
        <v>31.5.---13.6.---13.7.</v>
      </c>
      <c r="AP387" t="str">
        <f t="shared" si="60"/>
        <v>Kultasirkku</v>
      </c>
      <c r="AQ387" t="str">
        <f t="shared" si="61"/>
        <v>(31.5.---13.6.---13.7.)</v>
      </c>
    </row>
    <row r="388" spans="1:43" x14ac:dyDescent="0.2">
      <c r="A388" s="1"/>
      <c r="B388" s="9">
        <f t="shared" si="62"/>
        <v>382</v>
      </c>
      <c r="C388" s="10"/>
      <c r="D388" s="9" t="s">
        <v>378</v>
      </c>
      <c r="E388" s="10"/>
      <c r="F388" s="11">
        <v>43550</v>
      </c>
      <c r="G388" s="12">
        <f>IF(AG1,DATE(2019,1,14),DATE(2019,4,7))</f>
        <v>43562</v>
      </c>
      <c r="H388" s="11">
        <v>43553</v>
      </c>
      <c r="I388" s="12">
        <v>43550</v>
      </c>
      <c r="J388" s="11">
        <v>43559</v>
      </c>
      <c r="K388" s="12">
        <v>43560</v>
      </c>
      <c r="L388" s="11">
        <f>IF(AG1,DATE(2019,1,6),DATE(2019,4,8))</f>
        <v>43563</v>
      </c>
      <c r="M388" s="12">
        <f>IF(AG1,DATE(2019,1,6),DATE(2019,3,21))</f>
        <v>43545</v>
      </c>
      <c r="N388" s="11">
        <f>IF(AG1,DATE(2019,1,27),DATE(2019,4,2))</f>
        <v>43557</v>
      </c>
      <c r="O388" s="12">
        <v>43563</v>
      </c>
      <c r="P388" s="11">
        <v>43557</v>
      </c>
      <c r="Q388" s="12">
        <v>43569</v>
      </c>
      <c r="R388" s="11">
        <f>IF(AG1,DATE(2019,1,23),DATE(2019,3,27))</f>
        <v>43551</v>
      </c>
      <c r="S388" s="12">
        <f>IF(AG1,DATE(2019,1,4),DATE(2019,4,10))</f>
        <v>43565</v>
      </c>
      <c r="T388" s="11">
        <v>43544</v>
      </c>
      <c r="U388" s="12">
        <v>43556</v>
      </c>
      <c r="V388" s="11">
        <v>43552</v>
      </c>
      <c r="W388" s="12">
        <v>43559</v>
      </c>
      <c r="X388" s="11">
        <f>IF(AG1,DATE(2019,2,8),DATE(2019,4,8))</f>
        <v>43563</v>
      </c>
      <c r="Y388" s="12">
        <f>IF(AG1,DATE(2019,1,3),DATE(2019,4,2))</f>
        <v>43557</v>
      </c>
      <c r="Z388" s="11">
        <f>IF(AG1,DATE(2019,1,1),DATE(2019,3,27))</f>
        <v>43551</v>
      </c>
      <c r="AA388" s="12">
        <f>IF(AG1,DATE(2019,1,2),DATE(2019,3,26))</f>
        <v>43550</v>
      </c>
      <c r="AB388" s="11">
        <v>43570</v>
      </c>
      <c r="AC388" s="12">
        <v>43485</v>
      </c>
      <c r="AD388" s="34"/>
      <c r="AE388" s="33">
        <f t="shared" si="54"/>
        <v>43544</v>
      </c>
      <c r="AF388" s="33">
        <f t="shared" si="55"/>
        <v>43557</v>
      </c>
      <c r="AG388" s="33">
        <f t="shared" si="56"/>
        <v>43569</v>
      </c>
      <c r="AH388">
        <v>485</v>
      </c>
      <c r="AK388" s="36" t="str">
        <f t="shared" si="57"/>
        <v/>
      </c>
      <c r="AL388" t="str">
        <f t="shared" si="58"/>
        <v/>
      </c>
      <c r="AM388">
        <v>9</v>
      </c>
      <c r="AN388">
        <f t="shared" si="59"/>
        <v>25</v>
      </c>
      <c r="AO388" t="str">
        <f t="shared" si="53"/>
        <v>20.3.---2.4.---14.4.</v>
      </c>
      <c r="AP388" t="str">
        <f t="shared" si="60"/>
        <v>Pajusirkku</v>
      </c>
      <c r="AQ388" t="str">
        <f t="shared" si="61"/>
        <v>(20.3.---2.4.---14.4., 9/21)</v>
      </c>
    </row>
    <row r="389" spans="1:43" x14ac:dyDescent="0.2">
      <c r="A389" s="1"/>
      <c r="B389" s="9">
        <f t="shared" si="62"/>
        <v>383</v>
      </c>
      <c r="C389" s="10"/>
      <c r="D389" s="15" t="s">
        <v>381</v>
      </c>
      <c r="E389" s="16"/>
      <c r="F389" s="11"/>
      <c r="G389" s="12"/>
      <c r="H389" s="11"/>
      <c r="I389" s="12"/>
      <c r="J389" s="11"/>
      <c r="K389" s="12"/>
      <c r="L389" s="11"/>
      <c r="M389" s="12"/>
      <c r="N389" s="11"/>
      <c r="O389" s="12"/>
      <c r="P389" s="11"/>
      <c r="Q389" s="12"/>
      <c r="R389" s="11"/>
      <c r="S389" s="12"/>
      <c r="T389" s="11"/>
      <c r="U389" s="12"/>
      <c r="V389" s="11"/>
      <c r="W389" s="12"/>
      <c r="X389" s="11"/>
      <c r="Y389" s="12"/>
      <c r="Z389" s="11">
        <v>43658</v>
      </c>
      <c r="AA389" s="12"/>
      <c r="AB389" s="11"/>
      <c r="AC389" s="12"/>
      <c r="AD389" s="34"/>
      <c r="AE389" s="33">
        <f t="shared" ref="AE389:AE391" si="63">IF(SUM(F389:Z389)&gt;0,MIN(F389:Z389),"")</f>
        <v>43658</v>
      </c>
      <c r="AF389" s="33">
        <f t="shared" ref="AF389:AF391" si="64">IF(SUM(F389:Z389)&gt;0,MEDIAN(F389:Z389),"")</f>
        <v>43658</v>
      </c>
      <c r="AG389" s="33">
        <f t="shared" ref="AG389:AG391" si="65">IF(SUM(F389:Z389)&gt;0,MAX(F389:Z389),"")</f>
        <v>43658</v>
      </c>
      <c r="AH389">
        <v>488</v>
      </c>
      <c r="AK389" s="36" t="str">
        <f t="shared" si="57"/>
        <v/>
      </c>
      <c r="AL389" t="str">
        <f t="shared" ref="AL389:AL391" si="66">IF(COUNTIF(F389:Z389,"&lt;01.03.2019")&gt;0,COUNTIF(F389:Z389,"&lt;01.03.2019"),"")</f>
        <v/>
      </c>
      <c r="AM389" t="s">
        <v>393</v>
      </c>
      <c r="AN389">
        <f t="shared" si="59"/>
        <v>0</v>
      </c>
      <c r="AO389" t="str">
        <f t="shared" si="53"/>
        <v>12.7.---12.7.---12.7.</v>
      </c>
      <c r="AP389" t="str">
        <f t="shared" si="60"/>
        <v>Mustapääsirkku</v>
      </c>
      <c r="AQ389" t="str">
        <f t="shared" ref="AQ389:AQ391" si="67">IF(AND(AM389&gt;0,AM389&lt;&gt;""),"(" &amp;AO389 &amp; ", " &amp; AM389 &amp; "/21)","(" &amp; AO389 &amp; ")")</f>
        <v>(12.7.---12.7.---12.7.)</v>
      </c>
    </row>
    <row r="390" spans="1:43" x14ac:dyDescent="0.2">
      <c r="A390" s="1"/>
      <c r="B390" s="9"/>
      <c r="C390" s="10"/>
      <c r="D390" s="15" t="s">
        <v>379</v>
      </c>
      <c r="E390" s="16"/>
      <c r="F390" s="11"/>
      <c r="G390" s="12"/>
      <c r="H390" s="11"/>
      <c r="I390" s="12"/>
      <c r="J390" s="11"/>
      <c r="K390" s="12">
        <v>43796</v>
      </c>
      <c r="L390" s="11"/>
      <c r="M390" s="12"/>
      <c r="N390" s="11"/>
      <c r="O390" s="12"/>
      <c r="P390" s="11"/>
      <c r="Q390" s="12"/>
      <c r="R390" s="11"/>
      <c r="S390" s="12"/>
      <c r="T390" s="11"/>
      <c r="U390" s="12"/>
      <c r="V390" s="11"/>
      <c r="W390" s="12"/>
      <c r="X390" s="11"/>
      <c r="Y390" s="12"/>
      <c r="Z390" s="11"/>
      <c r="AA390" s="12"/>
      <c r="AB390" s="11"/>
      <c r="AC390" s="12"/>
      <c r="AD390" s="34"/>
      <c r="AE390" s="33">
        <f t="shared" si="63"/>
        <v>43796</v>
      </c>
      <c r="AF390" s="33">
        <f t="shared" si="64"/>
        <v>43796</v>
      </c>
      <c r="AG390" s="33">
        <f t="shared" si="65"/>
        <v>43796</v>
      </c>
      <c r="AH390">
        <v>488.1</v>
      </c>
      <c r="AK390" s="36" t="str">
        <f t="shared" si="57"/>
        <v/>
      </c>
      <c r="AL390" t="str">
        <f t="shared" si="66"/>
        <v/>
      </c>
      <c r="AM390" t="s">
        <v>393</v>
      </c>
      <c r="AN390">
        <f t="shared" si="59"/>
        <v>0</v>
      </c>
      <c r="AO390" t="str">
        <f t="shared" si="53"/>
        <v>27.11.---27.11.---27.11.</v>
      </c>
      <c r="AP390" t="str">
        <f t="shared" si="60"/>
        <v>Ruskopääsirkku / mustapääsirkku</v>
      </c>
      <c r="AQ390" t="str">
        <f t="shared" si="67"/>
        <v>(27.11.---27.11.---27.11.)</v>
      </c>
    </row>
    <row r="391" spans="1:43" x14ac:dyDescent="0.2">
      <c r="A391" s="1"/>
      <c r="B391" s="9">
        <f>B389+1</f>
        <v>384</v>
      </c>
      <c r="C391" s="10"/>
      <c r="D391" s="15" t="s">
        <v>380</v>
      </c>
      <c r="E391" s="16"/>
      <c r="F391" s="11"/>
      <c r="G391" s="12"/>
      <c r="H391" s="11"/>
      <c r="I391" s="12"/>
      <c r="J391" s="11"/>
      <c r="K391" s="12"/>
      <c r="L391" s="11"/>
      <c r="M391" s="12"/>
      <c r="N391" s="11">
        <v>43624</v>
      </c>
      <c r="O391" s="12"/>
      <c r="P391" s="11">
        <v>43601</v>
      </c>
      <c r="Q391" s="12"/>
      <c r="R391" s="11"/>
      <c r="S391" s="12"/>
      <c r="T391" s="11"/>
      <c r="U391" s="12"/>
      <c r="V391" s="11"/>
      <c r="W391" s="12">
        <v>43610</v>
      </c>
      <c r="X391" s="11"/>
      <c r="Y391" s="12">
        <v>43599</v>
      </c>
      <c r="Z391" s="11"/>
      <c r="AA391" s="12"/>
      <c r="AB391" s="11"/>
      <c r="AC391" s="12"/>
      <c r="AD391" s="34"/>
      <c r="AE391" s="33">
        <f t="shared" si="63"/>
        <v>43599</v>
      </c>
      <c r="AF391" s="33">
        <f t="shared" si="64"/>
        <v>43605.5</v>
      </c>
      <c r="AG391" s="33">
        <f t="shared" si="65"/>
        <v>43624</v>
      </c>
      <c r="AH391">
        <v>489</v>
      </c>
      <c r="AK391" s="36" t="str">
        <f t="shared" si="57"/>
        <v/>
      </c>
      <c r="AL391" t="str">
        <f t="shared" si="66"/>
        <v/>
      </c>
      <c r="AM391" t="s">
        <v>393</v>
      </c>
      <c r="AN391">
        <f t="shared" si="59"/>
        <v>25</v>
      </c>
      <c r="AO391" t="str">
        <f t="shared" si="53"/>
        <v>14.5.---20.5.---8.6.</v>
      </c>
      <c r="AP391" t="str">
        <f t="shared" si="60"/>
        <v>Harmaasirkku</v>
      </c>
      <c r="AQ391" t="str">
        <f t="shared" si="67"/>
        <v>(14.5.---20.5.---8.6.)</v>
      </c>
    </row>
    <row r="392" spans="1:43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3"/>
      <c r="AF392" s="3"/>
      <c r="AG392" s="3"/>
    </row>
  </sheetData>
  <mergeCells count="1">
    <mergeCell ref="B3:D3"/>
  </mergeCells>
  <pageMargins left="0.75" right="0.75" top="1" bottom="1" header="0.51180555555555496" footer="0.51180555555555496"/>
  <pageSetup paperSize="9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altText="Talvihavainnot">
                <anchor moveWithCells="1">
                  <from>
                    <xdr:col>30</xdr:col>
                    <xdr:colOff>19050</xdr:colOff>
                    <xdr:row>0</xdr:row>
                    <xdr:rowOff>47625</xdr:rowOff>
                  </from>
                  <to>
                    <xdr:col>31</xdr:col>
                    <xdr:colOff>428625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30270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PPLYn ensihavainnot</vt:lpstr>
      <vt:lpstr>vuosi</vt:lpstr>
      <vt:lpstr>graafi</vt:lpstr>
      <vt:lpstr>PPLYn ensihavainnot 2000-2021</vt:lpstr>
      <vt:lpstr>'PPLYn ensihavainnot 2000-2021'!talvi</vt:lpstr>
      <vt:lpstr>talvi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Tapani Tapio</dc:creator>
  <dc:description/>
  <cp:lastModifiedBy>Tapani Tapio</cp:lastModifiedBy>
  <cp:revision>33</cp:revision>
  <dcterms:created xsi:type="dcterms:W3CDTF">2020-12-03T18:26:22Z</dcterms:created>
  <dcterms:modified xsi:type="dcterms:W3CDTF">2024-03-23T13:58:36Z</dcterms:modified>
  <dc:language>fi-FI</dc:language>
</cp:coreProperties>
</file>